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192.168.160.245\Project\U\USF_Series\USFシリーズ　DOC\概算消費電力算出シート\V4\"/>
    </mc:Choice>
  </mc:AlternateContent>
  <xr:revisionPtr revIDLastSave="0" documentId="13_ncr:1_{31CB7F36-856B-4F32-9C4A-AB978223DA37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Calculation Instructions" sheetId="4" r:id="rId1"/>
    <sheet name="Calculation Instructions Origin" sheetId="1" state="hidden" r:id="rId2"/>
    <sheet name="Calculation" sheetId="2" r:id="rId3"/>
    <sheet name="DataTable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2" l="1"/>
  <c r="J57" i="3" l="1"/>
  <c r="N4" i="3"/>
  <c r="N3" i="3"/>
  <c r="N6" i="3"/>
  <c r="N5" i="3"/>
  <c r="N8" i="3"/>
  <c r="N7" i="3"/>
  <c r="M8" i="3"/>
  <c r="M7" i="3"/>
  <c r="M4" i="3"/>
  <c r="M3" i="3"/>
  <c r="M6" i="3"/>
  <c r="M5" i="3"/>
  <c r="G53" i="3"/>
  <c r="I55" i="3"/>
  <c r="H55" i="3"/>
  <c r="G55" i="3"/>
  <c r="F55" i="3"/>
  <c r="E55" i="3"/>
  <c r="D55" i="3"/>
  <c r="J55" i="3"/>
  <c r="L55" i="3" s="1"/>
  <c r="L20" i="3"/>
  <c r="N20" i="3" s="1"/>
  <c r="K20" i="3"/>
  <c r="M20" i="3" s="1"/>
  <c r="J52" i="3"/>
  <c r="J53" i="3"/>
  <c r="L53" i="3" s="1"/>
  <c r="J54" i="3"/>
  <c r="L54" i="3" s="1"/>
  <c r="I52" i="3"/>
  <c r="I53" i="3"/>
  <c r="I54" i="3"/>
  <c r="H54" i="3"/>
  <c r="H53" i="3"/>
  <c r="H52" i="3"/>
  <c r="G52" i="3"/>
  <c r="G54" i="3"/>
  <c r="F54" i="3"/>
  <c r="F53" i="3"/>
  <c r="F52" i="3"/>
  <c r="E52" i="3"/>
  <c r="E53" i="3"/>
  <c r="E54" i="3"/>
  <c r="D54" i="3"/>
  <c r="D53" i="3"/>
  <c r="D52" i="3"/>
  <c r="L17" i="3"/>
  <c r="N17" i="3" s="1"/>
  <c r="L18" i="3"/>
  <c r="N18" i="3" s="1"/>
  <c r="L19" i="3"/>
  <c r="N19" i="3" s="1"/>
  <c r="K17" i="3"/>
  <c r="M17" i="3" s="1"/>
  <c r="K18" i="3"/>
  <c r="M18" i="3" s="1"/>
  <c r="K19" i="3"/>
  <c r="M19" i="3" s="1"/>
  <c r="J51" i="3"/>
  <c r="L51" i="3" s="1"/>
  <c r="G64" i="3"/>
  <c r="I51" i="3"/>
  <c r="H51" i="3"/>
  <c r="G51" i="3"/>
  <c r="E51" i="3"/>
  <c r="F51" i="3"/>
  <c r="D51" i="3"/>
  <c r="L16" i="3"/>
  <c r="N16" i="3" s="1"/>
  <c r="K16" i="3"/>
  <c r="M16" i="3" s="1"/>
  <c r="L45" i="3"/>
  <c r="N45" i="3" s="1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N11" i="3"/>
  <c r="M11" i="3"/>
  <c r="N13" i="3"/>
  <c r="M13" i="3"/>
  <c r="K14" i="3"/>
  <c r="M14" i="3" s="1"/>
  <c r="K3" i="3"/>
  <c r="L14" i="3"/>
  <c r="N14" i="3" s="1"/>
  <c r="L13" i="3"/>
  <c r="K13" i="3"/>
  <c r="J56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3" i="3"/>
  <c r="G62" i="3"/>
  <c r="G61" i="3"/>
  <c r="G60" i="3"/>
  <c r="G59" i="3"/>
  <c r="G58" i="3"/>
  <c r="G57" i="3"/>
  <c r="G56" i="3"/>
  <c r="I81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I49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J80" i="3"/>
  <c r="L80" i="3" s="1"/>
  <c r="J79" i="3"/>
  <c r="L79" i="3" s="1"/>
  <c r="J78" i="3"/>
  <c r="L78" i="3" s="1"/>
  <c r="J77" i="3"/>
  <c r="L77" i="3" s="1"/>
  <c r="J76" i="3"/>
  <c r="L76" i="3" s="1"/>
  <c r="J75" i="3"/>
  <c r="L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62" i="3"/>
  <c r="L62" i="3" s="1"/>
  <c r="J61" i="3"/>
  <c r="L61" i="3" s="1"/>
  <c r="J60" i="3"/>
  <c r="J59" i="3"/>
  <c r="L59" i="3" s="1"/>
  <c r="J58" i="3"/>
  <c r="K45" i="3"/>
  <c r="M45" i="3" s="1"/>
  <c r="L44" i="3"/>
  <c r="N44" i="3" s="1"/>
  <c r="K44" i="3"/>
  <c r="M44" i="3" s="1"/>
  <c r="L43" i="3"/>
  <c r="N43" i="3" s="1"/>
  <c r="K43" i="3"/>
  <c r="M43" i="3" s="1"/>
  <c r="L42" i="3"/>
  <c r="N42" i="3" s="1"/>
  <c r="K42" i="3"/>
  <c r="M42" i="3" s="1"/>
  <c r="L41" i="3"/>
  <c r="N41" i="3" s="1"/>
  <c r="K41" i="3"/>
  <c r="M41" i="3" s="1"/>
  <c r="L40" i="3"/>
  <c r="N40" i="3" s="1"/>
  <c r="K40" i="3"/>
  <c r="M40" i="3" s="1"/>
  <c r="L39" i="3"/>
  <c r="N39" i="3" s="1"/>
  <c r="K39" i="3"/>
  <c r="M39" i="3" s="1"/>
  <c r="L38" i="3"/>
  <c r="N38" i="3" s="1"/>
  <c r="K38" i="3"/>
  <c r="M38" i="3" s="1"/>
  <c r="L37" i="3"/>
  <c r="N37" i="3" s="1"/>
  <c r="K37" i="3"/>
  <c r="M37" i="3" s="1"/>
  <c r="L36" i="3"/>
  <c r="N36" i="3" s="1"/>
  <c r="K36" i="3"/>
  <c r="M36" i="3" s="1"/>
  <c r="L35" i="3"/>
  <c r="N35" i="3" s="1"/>
  <c r="K35" i="3"/>
  <c r="M35" i="3" s="1"/>
  <c r="L34" i="3"/>
  <c r="N34" i="3" s="1"/>
  <c r="K34" i="3"/>
  <c r="M34" i="3" s="1"/>
  <c r="L33" i="3"/>
  <c r="N33" i="3" s="1"/>
  <c r="K33" i="3"/>
  <c r="M33" i="3" s="1"/>
  <c r="L32" i="3"/>
  <c r="N32" i="3" s="1"/>
  <c r="K32" i="3"/>
  <c r="M32" i="3" s="1"/>
  <c r="L31" i="3"/>
  <c r="N31" i="3" s="1"/>
  <c r="K31" i="3"/>
  <c r="M31" i="3" s="1"/>
  <c r="L30" i="3"/>
  <c r="N30" i="3" s="1"/>
  <c r="K30" i="3"/>
  <c r="M30" i="3" s="1"/>
  <c r="L29" i="3"/>
  <c r="N29" i="3" s="1"/>
  <c r="K29" i="3"/>
  <c r="M29" i="3" s="1"/>
  <c r="L28" i="3"/>
  <c r="N28" i="3" s="1"/>
  <c r="K28" i="3"/>
  <c r="M28" i="3" s="1"/>
  <c r="L27" i="3"/>
  <c r="N27" i="3" s="1"/>
  <c r="K27" i="3"/>
  <c r="M27" i="3" s="1"/>
  <c r="L26" i="3"/>
  <c r="N26" i="3" s="1"/>
  <c r="K26" i="3"/>
  <c r="M26" i="3" s="1"/>
  <c r="L25" i="3"/>
  <c r="N25" i="3" s="1"/>
  <c r="K25" i="3"/>
  <c r="M25" i="3" s="1"/>
  <c r="L24" i="3"/>
  <c r="N24" i="3" s="1"/>
  <c r="K24" i="3"/>
  <c r="M24" i="3" s="1"/>
  <c r="L23" i="3"/>
  <c r="N23" i="3" s="1"/>
  <c r="K23" i="3"/>
  <c r="M23" i="3" s="1"/>
  <c r="L22" i="3"/>
  <c r="N22" i="3" s="1"/>
  <c r="K22" i="3"/>
  <c r="M22" i="3" s="1"/>
  <c r="L21" i="3"/>
  <c r="N21" i="3" s="1"/>
  <c r="K21" i="3"/>
  <c r="M21" i="3" s="1"/>
  <c r="L15" i="3"/>
  <c r="K15" i="3"/>
  <c r="L12" i="3"/>
  <c r="N12" i="3" s="1"/>
  <c r="K12" i="3"/>
  <c r="M12" i="3" s="1"/>
  <c r="L11" i="3"/>
  <c r="K11" i="3"/>
  <c r="L10" i="3"/>
  <c r="N10" i="3" s="1"/>
  <c r="K10" i="3"/>
  <c r="M10" i="3" s="1"/>
  <c r="L9" i="3"/>
  <c r="N9" i="3" s="1"/>
  <c r="K9" i="3"/>
  <c r="M9" i="3" s="1"/>
  <c r="L8" i="3"/>
  <c r="K8" i="3"/>
  <c r="L7" i="3"/>
  <c r="L3" i="3"/>
  <c r="K7" i="3"/>
  <c r="L6" i="3"/>
  <c r="K6" i="3"/>
  <c r="L5" i="3"/>
  <c r="K5" i="3"/>
  <c r="L4" i="3"/>
  <c r="K4" i="3"/>
  <c r="E81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H49" i="3"/>
  <c r="G49" i="3"/>
  <c r="F49" i="3"/>
  <c r="E49" i="3"/>
  <c r="D49" i="3"/>
  <c r="N15" i="3"/>
  <c r="M15" i="3"/>
  <c r="C108" i="3" l="1"/>
  <c r="K54" i="3"/>
  <c r="C105" i="3"/>
  <c r="C112" i="3"/>
  <c r="C106" i="3"/>
  <c r="K55" i="3"/>
  <c r="C104" i="3"/>
  <c r="C107" i="3"/>
  <c r="C109" i="3"/>
  <c r="K53" i="3"/>
  <c r="K52" i="3"/>
  <c r="L52" i="3" s="1"/>
  <c r="K81" i="3"/>
  <c r="J81" i="3" s="1"/>
  <c r="K67" i="3"/>
  <c r="K51" i="3"/>
  <c r="K76" i="3"/>
  <c r="K58" i="3"/>
  <c r="K64" i="3"/>
  <c r="K70" i="3"/>
  <c r="K59" i="3"/>
  <c r="K65" i="3"/>
  <c r="K71" i="3"/>
  <c r="K77" i="3"/>
  <c r="K60" i="3"/>
  <c r="L60" i="3" s="1"/>
  <c r="K66" i="3"/>
  <c r="K72" i="3"/>
  <c r="K78" i="3"/>
  <c r="J50" i="3"/>
  <c r="C110" i="3" s="1"/>
  <c r="K61" i="3"/>
  <c r="K73" i="3"/>
  <c r="K79" i="3"/>
  <c r="K56" i="3"/>
  <c r="K62" i="3"/>
  <c r="K68" i="3"/>
  <c r="K74" i="3"/>
  <c r="K80" i="3"/>
  <c r="K57" i="3"/>
  <c r="K63" i="3"/>
  <c r="K69" i="3"/>
  <c r="K75" i="3"/>
  <c r="L57" i="3"/>
  <c r="L58" i="3"/>
  <c r="N46" i="3"/>
  <c r="M46" i="3"/>
  <c r="L56" i="3"/>
  <c r="C111" i="3" l="1"/>
  <c r="C103" i="3"/>
  <c r="L82" i="3"/>
  <c r="D36" i="2"/>
  <c r="J82" i="3" l="1"/>
  <c r="C39" i="2" s="1"/>
  <c r="C41" i="2" l="1"/>
  <c r="C40" i="2"/>
</calcChain>
</file>

<file path=xl/sharedStrings.xml><?xml version="1.0" encoding="utf-8"?>
<sst xmlns="http://schemas.openxmlformats.org/spreadsheetml/2006/main" count="459" uniqueCount="185">
  <si>
    <t>120V</t>
  </si>
  <si>
    <t>USF-212AS</t>
  </si>
  <si>
    <t>USF-212S</t>
  </si>
  <si>
    <t>USF-212</t>
  </si>
  <si>
    <t>USF-105S</t>
  </si>
  <si>
    <t>USF-1043FS</t>
  </si>
  <si>
    <t>USF-106UDC-12G</t>
  </si>
  <si>
    <t>USF-106DC-12G</t>
  </si>
  <si>
    <t>USF-1044UDC</t>
  </si>
  <si>
    <t>USF-105DDA-12G</t>
  </si>
  <si>
    <t>USF-1053DDA</t>
  </si>
  <si>
    <t>USF-1040VEA</t>
  </si>
  <si>
    <t>USF-1040VEA + USF-VEAIF</t>
  </si>
  <si>
    <t>USF-1100VEA</t>
  </si>
  <si>
    <t>USF-1100VEA + USF-VEAIF</t>
  </si>
  <si>
    <t>USF-1013MUX</t>
  </si>
  <si>
    <t>USF-1013DEMUX</t>
  </si>
  <si>
    <t>USF-105DADA</t>
  </si>
  <si>
    <t>USF-402AADC</t>
  </si>
  <si>
    <t>USF-108ADA</t>
  </si>
  <si>
    <t>USF-108ADA + USF-ADAIF</t>
  </si>
  <si>
    <t>100V</t>
  </si>
  <si>
    <t>220V</t>
  </si>
  <si>
    <t>240V</t>
  </si>
  <si>
    <t>USF-212 + PS</t>
  </si>
  <si>
    <t>USF-212S + PS</t>
  </si>
  <si>
    <t>USF-105S + PS</t>
  </si>
  <si>
    <t>USF-212AS + PS</t>
  </si>
  <si>
    <t>USF-212PS</t>
  </si>
  <si>
    <t>USF-1040VEA + VEAIF</t>
  </si>
  <si>
    <t>USF-1100VEA + VEAIF</t>
  </si>
  <si>
    <t>USF-108ADA + ADAIF</t>
  </si>
  <si>
    <t>Slot Limit</t>
  </si>
  <si>
    <t>UFS-1044UDC</t>
  </si>
  <si>
    <t>UFS-1010VEA</t>
  </si>
  <si>
    <t>UFS-1010VEA + VEAIF</t>
  </si>
  <si>
    <t>UFS-1013MUX</t>
  </si>
  <si>
    <t>UFS-108ADA</t>
  </si>
  <si>
    <t>UFS-108ADA + ADAIF</t>
  </si>
  <si>
    <t>USF-105DADA</t>
    <phoneticPr fontId="4"/>
  </si>
  <si>
    <t>USF-111DDA-12G</t>
    <phoneticPr fontId="4"/>
  </si>
  <si>
    <t>USF-105FS-12G</t>
    <phoneticPr fontId="4"/>
  </si>
  <si>
    <t>USF-1043SS</t>
    <phoneticPr fontId="4"/>
  </si>
  <si>
    <t>USF-1043VM</t>
    <phoneticPr fontId="4"/>
  </si>
  <si>
    <t>USF-106TICO-12G</t>
    <phoneticPr fontId="4"/>
  </si>
  <si>
    <t>USF-1043VTG</t>
    <phoneticPr fontId="4"/>
  </si>
  <si>
    <t>USF-101MDX4-12G</t>
    <phoneticPr fontId="4"/>
  </si>
  <si>
    <t>USF-101MDX8-12G</t>
    <phoneticPr fontId="4"/>
  </si>
  <si>
    <t>USF-204ADAC</t>
    <phoneticPr fontId="4"/>
  </si>
  <si>
    <t>USF-105FS-12G</t>
    <phoneticPr fontId="4"/>
  </si>
  <si>
    <t>USF-101MDX4-12G</t>
    <phoneticPr fontId="4"/>
  </si>
  <si>
    <t>UFF-1043VM</t>
    <phoneticPr fontId="4"/>
  </si>
  <si>
    <t>USF-105AS</t>
    <phoneticPr fontId="4"/>
  </si>
  <si>
    <t>USF-105AS + PS</t>
    <phoneticPr fontId="4"/>
  </si>
  <si>
    <t>USF-105S</t>
    <phoneticPr fontId="4"/>
  </si>
  <si>
    <t>Power Consumption</t>
    <phoneticPr fontId="4"/>
  </si>
  <si>
    <t>Apparent Power</t>
    <phoneticPr fontId="4"/>
  </si>
  <si>
    <t>Cons</t>
    <phoneticPr fontId="4"/>
  </si>
  <si>
    <t>App</t>
    <phoneticPr fontId="4"/>
  </si>
  <si>
    <t>Single</t>
    <phoneticPr fontId="4"/>
  </si>
  <si>
    <t>Sum</t>
    <phoneticPr fontId="4"/>
  </si>
  <si>
    <t>USF-212</t>
    <phoneticPr fontId="4"/>
  </si>
  <si>
    <t>USF-106UDC-12G</t>
    <phoneticPr fontId="4"/>
  </si>
  <si>
    <t>USF-106DC-12G</t>
    <phoneticPr fontId="4"/>
  </si>
  <si>
    <t>USF-1044UDC</t>
    <phoneticPr fontId="4"/>
  </si>
  <si>
    <t>USF-105DDA-12G</t>
    <phoneticPr fontId="4"/>
  </si>
  <si>
    <t>Parameter Value</t>
    <phoneticPr fontId="4"/>
  </si>
  <si>
    <t>Implementation</t>
    <phoneticPr fontId="4"/>
  </si>
  <si>
    <t>Slot</t>
    <phoneticPr fontId="4"/>
  </si>
  <si>
    <t>Frame</t>
    <phoneticPr fontId="4"/>
  </si>
  <si>
    <t>Results</t>
    <phoneticPr fontId="4"/>
  </si>
  <si>
    <t>Air Duct</t>
    <phoneticPr fontId="4"/>
  </si>
  <si>
    <t>-</t>
    <phoneticPr fontId="4"/>
  </si>
  <si>
    <t>Lookup</t>
    <phoneticPr fontId="4"/>
  </si>
  <si>
    <t>Installed</t>
    <phoneticPr fontId="4"/>
  </si>
  <si>
    <t>None</t>
    <phoneticPr fontId="4"/>
  </si>
  <si>
    <t>3G/HD/SD-SDI: max 6
4K: max 3
(12Gx2, 3G Quad x1)</t>
  </si>
  <si>
    <t>3G/HD/SD-SDI: max 6</t>
  </si>
  <si>
    <t>3G/HD/SD-SDI: 4
4K: 1 (3G-SDI×4)</t>
  </si>
  <si>
    <t>1
AES : max 4 (8ch)</t>
  </si>
  <si>
    <t>1
AES : max 8 (16ch)</t>
  </si>
  <si>
    <t>1
AES : 4 (8ch)</t>
  </si>
  <si>
    <t>AES : 1 (2ch)</t>
  </si>
  <si>
    <t>AES : 5 (10ch)</t>
  </si>
  <si>
    <t>AES : 2 (4ch)</t>
  </si>
  <si>
    <t>3G/HD/SD-SDI: max 5
4K: max 2 
(12Gx1, 3G Quad x1)</t>
    <phoneticPr fontId="4"/>
  </si>
  <si>
    <t>USF-1043FS</t>
    <phoneticPr fontId="4"/>
  </si>
  <si>
    <t>USF-1053DDA</t>
    <phoneticPr fontId="4"/>
  </si>
  <si>
    <t>USF-1040VEA</t>
    <phoneticPr fontId="4"/>
  </si>
  <si>
    <t>USF-1040VEA + USF-VEAIF</t>
    <phoneticPr fontId="4"/>
  </si>
  <si>
    <t>USF-1100VEA</t>
    <phoneticPr fontId="4"/>
  </si>
  <si>
    <t>USF-1100VEA + USF-VEAIF</t>
    <phoneticPr fontId="4"/>
  </si>
  <si>
    <t>USF-1043VTG</t>
    <phoneticPr fontId="4"/>
  </si>
  <si>
    <t>USF-1043VM</t>
    <phoneticPr fontId="4"/>
  </si>
  <si>
    <t>USF-101MDX8-12G</t>
    <phoneticPr fontId="4"/>
  </si>
  <si>
    <t>USF-1013MUX</t>
    <phoneticPr fontId="4"/>
  </si>
  <si>
    <t>USF-1013DEMUX</t>
    <phoneticPr fontId="4"/>
  </si>
  <si>
    <t>USF-402AADC</t>
    <phoneticPr fontId="4"/>
  </si>
  <si>
    <t>USF-108ADA</t>
    <phoneticPr fontId="4"/>
  </si>
  <si>
    <t>USF-108ADA + USF-ADAIF</t>
    <phoneticPr fontId="4"/>
  </si>
  <si>
    <t>USF-212BS</t>
    <phoneticPr fontId="4"/>
  </si>
  <si>
    <t>USF-212BS + PS</t>
    <phoneticPr fontId="4"/>
  </si>
  <si>
    <t>USF-10IP-TRC</t>
    <phoneticPr fontId="4"/>
  </si>
  <si>
    <t>USF-10IP-TRC-FS</t>
    <phoneticPr fontId="4"/>
  </si>
  <si>
    <t>USF-10IPSDI6-FS</t>
    <phoneticPr fontId="4"/>
  </si>
  <si>
    <t>USF-10IPSDI12-FS</t>
    <phoneticPr fontId="4"/>
  </si>
  <si>
    <t>USF-80SDICS</t>
    <phoneticPr fontId="4"/>
  </si>
  <si>
    <t>Installed</t>
  </si>
  <si>
    <t>積載スロット数が12より上</t>
    <rPh sb="0" eb="2">
      <t>セキサイ</t>
    </rPh>
    <rPh sb="6" eb="7">
      <t>スウ</t>
    </rPh>
    <rPh sb="12" eb="13">
      <t>ウエ</t>
    </rPh>
    <phoneticPr fontId="4"/>
  </si>
  <si>
    <t>3スロット製品4枚以上実装</t>
    <rPh sb="5" eb="7">
      <t>セイヒン</t>
    </rPh>
    <rPh sb="8" eb="9">
      <t>マイ</t>
    </rPh>
    <rPh sb="9" eb="11">
      <t>イジョウ</t>
    </rPh>
    <rPh sb="11" eb="13">
      <t>ジッソウ</t>
    </rPh>
    <phoneticPr fontId="4"/>
  </si>
  <si>
    <t>3スロット3枚、2スロット以上１枚以上</t>
    <rPh sb="6" eb="7">
      <t>マイ</t>
    </rPh>
    <rPh sb="13" eb="15">
      <t>イジョウ</t>
    </rPh>
    <rPh sb="16" eb="17">
      <t>マイ</t>
    </rPh>
    <rPh sb="17" eb="19">
      <t>イジョウ</t>
    </rPh>
    <phoneticPr fontId="4"/>
  </si>
  <si>
    <t>USF-10IP-TRCを6枚以上実装</t>
    <rPh sb="14" eb="15">
      <t>マイ</t>
    </rPh>
    <rPh sb="15" eb="17">
      <t>イジョウ</t>
    </rPh>
    <rPh sb="17" eb="19">
      <t>ジッソウ</t>
    </rPh>
    <phoneticPr fontId="4"/>
  </si>
  <si>
    <t>USF-10IP-TRCを5枚、他モジュール1枚以上実装</t>
    <rPh sb="14" eb="15">
      <t>マイ</t>
    </rPh>
    <rPh sb="16" eb="17">
      <t>ホカ</t>
    </rPh>
    <rPh sb="23" eb="26">
      <t>マイイジョウ</t>
    </rPh>
    <rPh sb="26" eb="28">
      <t>ジッソウ</t>
    </rPh>
    <phoneticPr fontId="4"/>
  </si>
  <si>
    <t>USF-10IPSDI6-FSを6枚以上実装</t>
    <phoneticPr fontId="4"/>
  </si>
  <si>
    <t>USF-10IPSDI6-FSを5枚、他モジュールを1枚以上実装</t>
    <rPh sb="17" eb="18">
      <t>マイ</t>
    </rPh>
    <rPh sb="19" eb="20">
      <t>ホカ</t>
    </rPh>
    <rPh sb="27" eb="30">
      <t>マイイジョウ</t>
    </rPh>
    <rPh sb="30" eb="32">
      <t>ジッソウ</t>
    </rPh>
    <phoneticPr fontId="4"/>
  </si>
  <si>
    <t>3スロット2枚、2スロット以上3枚以上</t>
    <rPh sb="6" eb="7">
      <t>マイ</t>
    </rPh>
    <rPh sb="13" eb="15">
      <t>イジョウ</t>
    </rPh>
    <rPh sb="16" eb="17">
      <t>マイ</t>
    </rPh>
    <rPh sb="17" eb="19">
      <t>イジョウ</t>
    </rPh>
    <phoneticPr fontId="4"/>
  </si>
  <si>
    <t>実装不可条件</t>
    <rPh sb="0" eb="2">
      <t>ジッソウ</t>
    </rPh>
    <rPh sb="2" eb="4">
      <t>フカ</t>
    </rPh>
    <rPh sb="4" eb="6">
      <t>ジョウケン</t>
    </rPh>
    <phoneticPr fontId="4"/>
  </si>
  <si>
    <t>状態</t>
    <rPh sb="0" eb="2">
      <t>ジョウタイ</t>
    </rPh>
    <phoneticPr fontId="4"/>
  </si>
  <si>
    <t>105AS時、USF105FSを4枚以上実装</t>
    <rPh sb="5" eb="6">
      <t>ジ</t>
    </rPh>
    <rPh sb="17" eb="18">
      <t>マイ</t>
    </rPh>
    <rPh sb="18" eb="20">
      <t>イジョウ</t>
    </rPh>
    <rPh sb="20" eb="22">
      <t>ジッソウ</t>
    </rPh>
    <phoneticPr fontId="4"/>
  </si>
  <si>
    <t>105AS時、USF105FSを3枚実装、他モジュールを1枚以上実装</t>
    <rPh sb="5" eb="6">
      <t>ジ</t>
    </rPh>
    <rPh sb="17" eb="18">
      <t>マイ</t>
    </rPh>
    <rPh sb="18" eb="20">
      <t>ジッソウ</t>
    </rPh>
    <rPh sb="21" eb="22">
      <t>ホカ</t>
    </rPh>
    <rPh sb="29" eb="32">
      <t>マイイジョウ</t>
    </rPh>
    <rPh sb="32" eb="34">
      <t>ジッソウ</t>
    </rPh>
    <phoneticPr fontId="4"/>
  </si>
  <si>
    <t>USF-212BS</t>
  </si>
  <si>
    <r>
      <t>USF-80SDICS (</t>
    </r>
    <r>
      <rPr>
        <sz val="12"/>
        <rFont val="ＭＳ Ｐゴシック"/>
        <family val="2"/>
        <charset val="134"/>
      </rPr>
      <t>※</t>
    </r>
    <r>
      <rPr>
        <sz val="12"/>
        <rFont val="Arial"/>
        <family val="2"/>
      </rPr>
      <t>2)</t>
    </r>
    <phoneticPr fontId="4"/>
  </si>
  <si>
    <t>USF Series Calculation Sheet (Ver. 4.00)</t>
    <phoneticPr fontId="4"/>
  </si>
  <si>
    <t>USF Series product name</t>
    <phoneticPr fontId="4"/>
  </si>
  <si>
    <t>Select configuration</t>
    <phoneticPr fontId="4"/>
  </si>
  <si>
    <t>Frame</t>
    <phoneticPr fontId="4"/>
  </si>
  <si>
    <t>Power supply voltage</t>
    <phoneticPr fontId="4"/>
  </si>
  <si>
    <t>Frame unit</t>
    <phoneticPr fontId="4"/>
  </si>
  <si>
    <t>Modules</t>
    <phoneticPr fontId="4"/>
  </si>
  <si>
    <t>Computed 
results</t>
    <phoneticPr fontId="4"/>
  </si>
  <si>
    <t>Determination 
( Required slots / upper limit )</t>
    <phoneticPr fontId="4"/>
  </si>
  <si>
    <t>Maximum power consumption (W)</t>
    <phoneticPr fontId="4"/>
  </si>
  <si>
    <t>Apparent power (VA)</t>
    <phoneticPr fontId="4"/>
  </si>
  <si>
    <r>
      <t>* Results calculated assuming 25</t>
    </r>
    <r>
      <rPr>
        <sz val="12"/>
        <rFont val="Segoe UI Symbol"/>
        <family val="2"/>
      </rPr>
      <t>℃</t>
    </r>
    <r>
      <rPr>
        <sz val="12"/>
        <rFont val="Arial"/>
        <family val="2"/>
      </rPr>
      <t xml:space="preserve"> room temp.</t>
    </r>
    <phoneticPr fontId="4"/>
  </si>
  <si>
    <r>
      <rPr>
        <sz val="12"/>
        <rFont val="ＭＳ Ｐゴシック"/>
        <family val="2"/>
        <charset val="128"/>
      </rPr>
      <t>※1：</t>
    </r>
    <r>
      <rPr>
        <sz val="12"/>
        <rFont val="Arial"/>
        <family val="2"/>
      </rPr>
      <t xml:space="preserve">  Optional USF-VEAIF or USF-ADAIF is required to control via LAN.</t>
    </r>
    <phoneticPr fontId="4"/>
  </si>
  <si>
    <r>
      <rPr>
        <sz val="12"/>
        <rFont val="ＭＳ Ｐゴシック"/>
        <family val="2"/>
        <charset val="134"/>
      </rPr>
      <t>※</t>
    </r>
    <r>
      <rPr>
        <sz val="12"/>
        <rFont val="Arial"/>
        <family val="2"/>
      </rPr>
      <t>2</t>
    </r>
    <r>
      <rPr>
        <sz val="12"/>
        <rFont val="ＭＳ Ｐゴシック"/>
        <family val="2"/>
        <charset val="134"/>
      </rPr>
      <t>：　</t>
    </r>
    <r>
      <rPr>
        <sz val="12"/>
        <rFont val="Arial"/>
        <family val="2"/>
      </rPr>
      <t>USF-80SDICS does not support USF Web GUI. The installation status and version cannot be confirmed with the USF Web GUI.</t>
    </r>
    <phoneticPr fontId="4"/>
  </si>
  <si>
    <r>
      <rPr>
        <sz val="12"/>
        <rFont val="ＭＳ Ｐゴシック"/>
        <family val="2"/>
        <charset val="134"/>
      </rPr>
      <t>※</t>
    </r>
    <r>
      <rPr>
        <sz val="12"/>
        <rFont val="Arial"/>
        <family val="2"/>
      </rPr>
      <t>3</t>
    </r>
    <r>
      <rPr>
        <sz val="12"/>
        <rFont val="ＭＳ Ｐゴシック"/>
        <family val="2"/>
        <charset val="134"/>
      </rPr>
      <t>：　</t>
    </r>
    <r>
      <rPr>
        <sz val="12"/>
        <rFont val="Arial"/>
        <family val="2"/>
      </rPr>
      <t>With USF-IPSDI6-FS, 6 SDI input / output terminals can be switched from 3 inputs and 3 outputs / 6 inputs / 6 outputs.</t>
    </r>
    <phoneticPr fontId="4"/>
  </si>
  <si>
    <t>Frame synchronizer compatible with 12G-SDI</t>
    <phoneticPr fontId="4"/>
  </si>
  <si>
    <t>Capable of converting 4K video signals and TICO codec signals Encoder / Decoder</t>
    <phoneticPr fontId="4"/>
  </si>
  <si>
    <t>4K up / down converter for 12G / 3G / HD-SDI
(4K input / output supports 12G-SDI Single, 3G-SDI Quad)</t>
    <phoneticPr fontId="4"/>
  </si>
  <si>
    <t>4K down converter for 12G / 3G / HD-SDI
(4K input supports 12G-SDI Single and 3G-SDI Quad)</t>
    <phoneticPr fontId="4"/>
  </si>
  <si>
    <t>Digital video distributor compatible with 12G / 3G / HD / SD-SDI</t>
    <phoneticPr fontId="4"/>
  </si>
  <si>
    <t>12G-SDI compatible digital video distributor capable of 11 distributed output</t>
    <phoneticPr fontId="4"/>
  </si>
  <si>
    <t>Cable compensation, with loop through
Analog video / 3 value sink distributor</t>
    <phoneticPr fontId="4"/>
  </si>
  <si>
    <t>Cable compensation, analog video / 3 value sink distributor with loop through + VEA Ethernet interface</t>
    <phoneticPr fontId="4"/>
  </si>
  <si>
    <t>3G / HD / SD-SDI digital video distributor with signal monitoring function</t>
    <phoneticPr fontId="4"/>
  </si>
  <si>
    <t>Supports AES input / output 8 channels
12G-SDI compatible 4K audio multi / demultiplexer</t>
    <phoneticPr fontId="4"/>
  </si>
  <si>
    <t>Supports AES input / output 16 channels
12G-SDI compatible 4K audio multi / demultiplexer</t>
    <phoneticPr fontId="4"/>
  </si>
  <si>
    <t>Analog : 4ch</t>
    <phoneticPr fontId="4"/>
  </si>
  <si>
    <t>Audio analog to digital converter</t>
    <phoneticPr fontId="4"/>
  </si>
  <si>
    <t>Two AES / EBU input / outputAudio analog to digital converter</t>
    <phoneticPr fontId="4"/>
  </si>
  <si>
    <t>Analog : max 2ch</t>
    <phoneticPr fontId="4"/>
  </si>
  <si>
    <t>Analog : max 8ch</t>
    <phoneticPr fontId="4"/>
  </si>
  <si>
    <t>1 input 8 distribution or 2 input 2 distribution available
Analog audio distributor</t>
    <phoneticPr fontId="4"/>
  </si>
  <si>
    <t>1 input 8 distribution or 2 input 2 distribution available
Analog audio distributor + ADA Ethernet interface</t>
    <phoneticPr fontId="4"/>
  </si>
  <si>
    <t>Product name</t>
    <phoneticPr fontId="4"/>
  </si>
  <si>
    <t>Install 
(a:Available, -:Not Available)</t>
    <phoneticPr fontId="4"/>
  </si>
  <si>
    <t>No. of inputs</t>
    <phoneticPr fontId="4"/>
  </si>
  <si>
    <t>No. of outputs</t>
    <phoneticPr fontId="4"/>
  </si>
  <si>
    <t>Overview</t>
    <phoneticPr fontId="4"/>
  </si>
  <si>
    <t>Frame synchronizer for 3G / HD / SD-SDI</t>
    <phoneticPr fontId="4"/>
  </si>
  <si>
    <t>4K up / down converter for 3G / HD / SD-SDI
(4K input / output supports 3G-SDI Quad)</t>
    <phoneticPr fontId="4"/>
  </si>
  <si>
    <t>Digital video distributor for 3G / HD / SD-SDI</t>
    <phoneticPr fontId="4"/>
  </si>
  <si>
    <t>Digital audio multiplexer for 3G / HD / SD-SDI</t>
    <phoneticPr fontId="4"/>
  </si>
  <si>
    <t>Digital audio demultiplexer supporting 3G / HD / SD-SDI</t>
    <phoneticPr fontId="4"/>
  </si>
  <si>
    <t>Digital audio / LTC / Word Clock distributor</t>
    <phoneticPr fontId="4"/>
  </si>
  <si>
    <t>a</t>
    <phoneticPr fontId="4"/>
  </si>
  <si>
    <r>
      <t>a</t>
    </r>
    <r>
      <rPr>
        <sz val="12"/>
        <rFont val="ＭＳ Ｐ明朝"/>
        <family val="1"/>
        <charset val="128"/>
      </rPr>
      <t>※1</t>
    </r>
    <phoneticPr fontId="4"/>
  </si>
  <si>
    <t>HD video timer</t>
    <phoneticPr fontId="4"/>
  </si>
  <si>
    <t>HD Still Store</t>
    <phoneticPr fontId="4"/>
  </si>
  <si>
    <t xml:space="preserve">Seamless changeover for 3G / HD / SD-SDI
Equipped with frame synchronizer function and relay bypass function </t>
    <phoneticPr fontId="4"/>
  </si>
  <si>
    <r>
      <t xml:space="preserve">IP </t>
    </r>
    <r>
      <rPr>
        <sz val="12"/>
        <rFont val="ＭＳ Ｐゴシック"/>
        <family val="2"/>
        <charset val="134"/>
      </rPr>
      <t>↔</t>
    </r>
    <r>
      <rPr>
        <sz val="12"/>
        <rFont val="Arial"/>
        <family val="2"/>
      </rPr>
      <t xml:space="preserve"> SDI transmission method conversion model
Equipped with frame synchronizer function</t>
    </r>
    <phoneticPr fontId="4"/>
  </si>
  <si>
    <t>IP ↔ SDI transmission method conversion model
Equipped with frame synchronizer function</t>
    <phoneticPr fontId="4"/>
  </si>
  <si>
    <t>SMPTE ST 2022-6 ↔ SMPTE ST 2110 conversion model
SMPTE ST 2022-6 For PTP synchronization of received data,
Equipped with frame synchronizer function</t>
    <phoneticPr fontId="4"/>
  </si>
  <si>
    <t>SMPTE ST 2022-8 ↔ SMPTE ST 2110 conversion model</t>
    <phoneticPr fontId="4"/>
  </si>
  <si>
    <t>10GbE(SFP+) ×4port</t>
    <phoneticPr fontId="4"/>
  </si>
  <si>
    <r>
      <t>(IP) 10GbE(SFP+) ×2port</t>
    </r>
    <r>
      <rPr>
        <sz val="12"/>
        <rFont val="ＭＳ Ｐゴシック"/>
        <family val="2"/>
        <charset val="134"/>
      </rPr>
      <t xml:space="preserve">
</t>
    </r>
    <r>
      <rPr>
        <sz val="12"/>
        <rFont val="Arial"/>
        <family val="2"/>
      </rPr>
      <t xml:space="preserve">(SDI) 3G mode: 3in3out / 
</t>
    </r>
    <r>
      <rPr>
        <sz val="12"/>
        <rFont val="ＭＳ Ｐゴシック"/>
        <family val="2"/>
        <charset val="134"/>
      </rPr>
      <t>　　　　　　　　　　　</t>
    </r>
    <r>
      <rPr>
        <sz val="12"/>
        <rFont val="Arial"/>
        <family val="2"/>
      </rPr>
      <t xml:space="preserve"> HD mode: 3in3out, 6in, 6out(</t>
    </r>
    <r>
      <rPr>
        <sz val="12"/>
        <rFont val="ＭＳ Ｐゴシック"/>
        <family val="2"/>
        <charset val="134"/>
      </rPr>
      <t>※</t>
    </r>
    <r>
      <rPr>
        <sz val="12"/>
        <rFont val="Arial"/>
        <family val="2"/>
      </rPr>
      <t>3)</t>
    </r>
    <phoneticPr fontId="4"/>
  </si>
  <si>
    <r>
      <t>(IP) 10GbE(SFP+) ×2port</t>
    </r>
    <r>
      <rPr>
        <sz val="12"/>
        <rFont val="ＭＳ Ｐゴシック"/>
        <family val="2"/>
        <charset val="134"/>
      </rPr>
      <t xml:space="preserve">
</t>
    </r>
    <r>
      <rPr>
        <sz val="12"/>
        <rFont val="Arial"/>
        <family val="2"/>
      </rPr>
      <t>(SDI) 3G mode: 3in3out /
      HD mode: 6in6out</t>
    </r>
    <phoneticPr fontId="4"/>
  </si>
  <si>
    <t>Computed results will appear at bottom.</t>
    <phoneticPr fontId="4"/>
  </si>
  <si>
    <t>"Notavailable" appears, if a module incompatible with USF frames is selected,</t>
    <phoneticPr fontId="4"/>
  </si>
  <si>
    <t>or the total number of modules exceeds available slots.</t>
    <phoneticPr fontId="4"/>
  </si>
  <si>
    <t>Calculation Sheet Instructions</t>
    <phoneticPr fontId="4"/>
  </si>
  <si>
    <t>※Recommend usinf Excel 2012 or later.</t>
    <phoneticPr fontId="4"/>
  </si>
  <si>
    <t>Click on the Calculation sheet and follow the procedures at right.</t>
    <phoneticPr fontId="4"/>
  </si>
  <si>
    <r>
      <rPr>
        <sz val="12"/>
        <rFont val="ＭＳ Ｐゴシック"/>
        <family val="2"/>
        <charset val="128"/>
      </rPr>
      <t>　　　　</t>
    </r>
    <r>
      <rPr>
        <sz val="12"/>
        <rFont val="Arial"/>
        <family val="2"/>
      </rPr>
      <t>Approximate Power Consumption for USF Series Units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</si>
</sst>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_ "/>
    <numFmt numFmtId="178" formatCode="0_ "/>
  </numFmts>
  <fonts count="18" x14ac:knownFonts="1">
    <font>
      <sz val="12"/>
      <name val="ＭＳ Ｐゴシック"/>
      <family val="2"/>
      <charset val="134"/>
    </font>
    <font>
      <b/>
      <sz val="20"/>
      <name val="ＭＳ Ｐゴシック"/>
      <family val="3"/>
      <charset val="1"/>
    </font>
    <font>
      <sz val="12"/>
      <name val="ＭＳ Ｐゴシック"/>
      <family val="2"/>
      <charset val="1"/>
    </font>
    <font>
      <b/>
      <sz val="12"/>
      <name val="ＭＳ Ｐゴシック"/>
      <family val="2"/>
      <charset val="134"/>
    </font>
    <font>
      <sz val="6"/>
      <name val="ＭＳ Ｐゴシック"/>
      <family val="3"/>
      <charset val="128"/>
    </font>
    <font>
      <sz val="10"/>
      <name val="ＭＳ Ｐゴシック"/>
      <family val="2"/>
      <charset val="134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Arial"/>
      <family val="2"/>
    </font>
    <font>
      <sz val="12"/>
      <name val="Arial"/>
      <family val="2"/>
    </font>
    <font>
      <sz val="12"/>
      <color theme="1" tint="0.499984740745262"/>
      <name val="Arial"/>
      <family val="2"/>
    </font>
    <font>
      <b/>
      <sz val="12"/>
      <name val="Arial Unicode MS"/>
      <family val="3"/>
      <charset val="128"/>
    </font>
    <font>
      <sz val="12"/>
      <name val="Segoe UI Symbol"/>
      <family val="2"/>
    </font>
    <font>
      <sz val="12"/>
      <name val="ＭＳ Ｐゴシック"/>
      <family val="2"/>
      <charset val="128"/>
    </font>
    <font>
      <sz val="12"/>
      <name val="Arial"/>
      <family val="2"/>
      <charset val="128"/>
    </font>
    <font>
      <sz val="12"/>
      <name val="Arial"/>
      <family val="2"/>
      <charset val="134"/>
    </font>
    <font>
      <sz val="12"/>
      <name val="Webdings"/>
      <family val="1"/>
      <charset val="2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medium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horizontal="center" vertical="center"/>
      <protection hidden="1"/>
    </xf>
  </cellStyleXfs>
  <cellXfs count="128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0" borderId="1" xfId="0" applyFont="1" applyFill="1" applyBorder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177" fontId="0" fillId="0" borderId="1" xfId="0" applyNumberFormat="1" applyFont="1" applyFill="1" applyBorder="1" applyProtection="1">
      <alignment vertical="center"/>
      <protection hidden="1"/>
    </xf>
    <xf numFmtId="0" fontId="2" fillId="0" borderId="1" xfId="0" applyFont="1" applyFill="1" applyBorder="1" applyProtection="1">
      <alignment vertical="center"/>
      <protection hidden="1"/>
    </xf>
    <xf numFmtId="0" fontId="0" fillId="0" borderId="12" xfId="0" applyFont="1" applyFill="1" applyBorder="1" applyProtection="1">
      <alignment vertical="center"/>
      <protection hidden="1"/>
    </xf>
    <xf numFmtId="177" fontId="0" fillId="0" borderId="12" xfId="0" applyNumberFormat="1" applyFont="1" applyFill="1" applyBorder="1" applyProtection="1">
      <alignment vertical="center"/>
      <protection hidden="1"/>
    </xf>
    <xf numFmtId="0" fontId="0" fillId="0" borderId="0" xfId="0" applyFont="1" applyFill="1" applyBorder="1" applyProtection="1">
      <alignment vertical="center"/>
      <protection hidden="1"/>
    </xf>
    <xf numFmtId="177" fontId="0" fillId="0" borderId="13" xfId="0" applyNumberFormat="1" applyFont="1" applyFill="1" applyBorder="1" applyProtection="1">
      <alignment vertical="center"/>
      <protection hidden="1"/>
    </xf>
    <xf numFmtId="0" fontId="0" fillId="0" borderId="11" xfId="0" applyFont="1" applyFill="1" applyBorder="1" applyAlignment="1" applyProtection="1">
      <alignment horizontal="center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right" vertical="center"/>
      <protection hidden="1"/>
    </xf>
    <xf numFmtId="178" fontId="0" fillId="0" borderId="1" xfId="0" applyNumberFormat="1" applyFont="1" applyFill="1" applyBorder="1" applyProtection="1">
      <alignment vertical="center"/>
      <protection hidden="1"/>
    </xf>
    <xf numFmtId="0" fontId="0" fillId="0" borderId="1" xfId="0" applyNumberFormat="1" applyFont="1" applyFill="1" applyBorder="1" applyProtection="1">
      <alignment vertical="center"/>
      <protection hidden="1"/>
    </xf>
    <xf numFmtId="0" fontId="0" fillId="0" borderId="14" xfId="0" applyNumberFormat="1" applyFont="1" applyFill="1" applyBorder="1" applyProtection="1">
      <alignment vertical="center"/>
      <protection hidden="1"/>
    </xf>
    <xf numFmtId="0" fontId="0" fillId="0" borderId="12" xfId="0" applyNumberFormat="1" applyFont="1" applyFill="1" applyBorder="1" applyProtection="1">
      <alignment vertical="center"/>
      <protection hidden="1"/>
    </xf>
    <xf numFmtId="0" fontId="0" fillId="0" borderId="15" xfId="0" applyNumberFormat="1" applyFont="1" applyFill="1" applyBorder="1" applyProtection="1">
      <alignment vertical="center"/>
      <protection hidden="1"/>
    </xf>
    <xf numFmtId="0" fontId="0" fillId="0" borderId="13" xfId="0" applyFont="1" applyFill="1" applyBorder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left" vertical="center"/>
      <protection hidden="1"/>
    </xf>
    <xf numFmtId="0" fontId="0" fillId="0" borderId="13" xfId="0" applyNumberFormat="1" applyFont="1" applyFill="1" applyBorder="1" applyProtection="1">
      <alignment vertical="center"/>
      <protection hidden="1"/>
    </xf>
    <xf numFmtId="0" fontId="0" fillId="0" borderId="13" xfId="0" applyFont="1" applyFill="1" applyBorder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2" fontId="0" fillId="0" borderId="1" xfId="0" applyNumberFormat="1" applyFill="1" applyBorder="1">
      <alignment vertical="center"/>
    </xf>
    <xf numFmtId="177" fontId="0" fillId="0" borderId="1" xfId="0" applyNumberFormat="1" applyFill="1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Protection="1">
      <alignment vertical="center"/>
    </xf>
    <xf numFmtId="0" fontId="9" fillId="0" borderId="25" xfId="0" applyFont="1" applyBorder="1" applyProtection="1">
      <alignment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Protection="1">
      <alignment vertical="center"/>
    </xf>
    <xf numFmtId="0" fontId="9" fillId="0" borderId="26" xfId="0" applyFont="1" applyBorder="1" applyProtection="1">
      <alignment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alignment vertical="center"/>
    </xf>
    <xf numFmtId="0" fontId="9" fillId="0" borderId="27" xfId="0" applyFont="1" applyBorder="1" applyProtection="1">
      <alignment vertical="center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32" xfId="0" applyFont="1" applyBorder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 hidden="1"/>
    </xf>
    <xf numFmtId="0" fontId="9" fillId="4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left" vertical="center"/>
    </xf>
    <xf numFmtId="0" fontId="9" fillId="0" borderId="35" xfId="0" applyFont="1" applyBorder="1" applyProtection="1">
      <alignment vertical="center"/>
    </xf>
    <xf numFmtId="0" fontId="9" fillId="0" borderId="31" xfId="0" applyFont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left" vertical="center"/>
    </xf>
    <xf numFmtId="0" fontId="9" fillId="4" borderId="33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left" vertical="center" wrapText="1"/>
    </xf>
    <xf numFmtId="0" fontId="9" fillId="3" borderId="34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left" vertical="center" wrapText="1"/>
    </xf>
    <xf numFmtId="0" fontId="9" fillId="0" borderId="31" xfId="0" applyFont="1" applyBorder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7" xfId="0" applyFont="1" applyBorder="1" applyProtection="1">
      <alignment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</xf>
    <xf numFmtId="0" fontId="9" fillId="0" borderId="20" xfId="0" applyFont="1" applyBorder="1" applyProtection="1">
      <alignment vertical="center"/>
    </xf>
    <xf numFmtId="0" fontId="9" fillId="0" borderId="20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Protection="1">
      <alignment vertical="center"/>
      <protection hidden="1"/>
    </xf>
    <xf numFmtId="0" fontId="9" fillId="0" borderId="19" xfId="0" applyFont="1" applyBorder="1" applyAlignment="1" applyProtection="1">
      <alignment vertical="center" wrapText="1"/>
    </xf>
    <xf numFmtId="0" fontId="9" fillId="0" borderId="9" xfId="0" applyFont="1" applyBorder="1" applyProtection="1">
      <alignment vertical="center"/>
    </xf>
    <xf numFmtId="0" fontId="9" fillId="0" borderId="9" xfId="0" applyFont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Protection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 wrapText="1"/>
    </xf>
    <xf numFmtId="0" fontId="14" fillId="0" borderId="0" xfId="0" applyFont="1" applyAlignment="1" applyProtection="1"/>
    <xf numFmtId="0" fontId="15" fillId="0" borderId="0" xfId="0" applyFont="1" applyAlignment="1" applyProtection="1">
      <alignment vertical="center"/>
    </xf>
    <xf numFmtId="0" fontId="16" fillId="3" borderId="28" xfId="0" applyFont="1" applyFill="1" applyBorder="1" applyAlignment="1" applyProtection="1">
      <alignment horizontal="center" vertical="center"/>
    </xf>
    <xf numFmtId="0" fontId="16" fillId="3" borderId="37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left" vertical="center" wrapText="1"/>
    </xf>
    <xf numFmtId="0" fontId="14" fillId="0" borderId="0" xfId="0" applyFont="1" applyProtection="1">
      <alignment vertical="center"/>
    </xf>
    <xf numFmtId="0" fontId="9" fillId="3" borderId="4" xfId="0" applyFont="1" applyFill="1" applyBorder="1" applyAlignment="1" applyProtection="1">
      <alignment horizontal="left" vertical="center"/>
    </xf>
    <xf numFmtId="176" fontId="9" fillId="0" borderId="14" xfId="0" applyNumberFormat="1" applyFont="1" applyBorder="1" applyAlignment="1" applyProtection="1">
      <alignment horizontal="right" vertical="center"/>
    </xf>
    <xf numFmtId="176" fontId="9" fillId="0" borderId="13" xfId="0" applyNumberFormat="1" applyFont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left" vertical="center"/>
    </xf>
    <xf numFmtId="0" fontId="9" fillId="3" borderId="29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 wrapText="1"/>
    </xf>
    <xf numFmtId="0" fontId="11" fillId="0" borderId="14" xfId="1" applyFont="1" applyBorder="1">
      <alignment horizontal="center" vertical="center"/>
      <protection hidden="1"/>
    </xf>
    <xf numFmtId="0" fontId="0" fillId="0" borderId="13" xfId="0" applyBorder="1">
      <alignment vertical="center"/>
    </xf>
    <xf numFmtId="0" fontId="0" fillId="0" borderId="14" xfId="0" applyFont="1" applyFill="1" applyBorder="1" applyAlignment="1" applyProtection="1">
      <alignment horizontal="left"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13" xfId="0" applyFont="1" applyFill="1" applyBorder="1" applyAlignment="1" applyProtection="1">
      <alignment horizontal="left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16" xfId="0" applyFont="1" applyFill="1" applyBorder="1" applyAlignment="1" applyProtection="1">
      <alignment horizontal="center" vertical="center"/>
      <protection hidden="1"/>
    </xf>
    <xf numFmtId="0" fontId="0" fillId="0" borderId="13" xfId="0" applyFont="1" applyFill="1" applyBorder="1" applyAlignment="1" applyProtection="1">
      <alignment horizontal="center" vertical="center"/>
      <protection hidden="1"/>
    </xf>
    <xf numFmtId="0" fontId="0" fillId="0" borderId="14" xfId="0" applyFont="1" applyFill="1" applyBorder="1" applyProtection="1">
      <alignment vertical="center"/>
      <protection hidden="1"/>
    </xf>
    <xf numFmtId="0" fontId="0" fillId="0" borderId="16" xfId="0" applyFont="1" applyFill="1" applyBorder="1" applyProtection="1">
      <alignment vertical="center"/>
      <protection hidden="1"/>
    </xf>
    <xf numFmtId="0" fontId="0" fillId="0" borderId="13" xfId="0" applyFont="1" applyFill="1" applyBorder="1" applyProtection="1">
      <alignment vertical="center"/>
      <protection hidden="1"/>
    </xf>
  </cellXfs>
  <cellStyles count="2">
    <cellStyle name="説明文" xfId="1" builtinId="53" customBuiltin="1"/>
    <cellStyle name="標準" xfId="0" builtinId="0"/>
  </cellStyles>
  <dxfs count="3">
    <dxf>
      <font>
        <b val="0"/>
        <i val="0"/>
        <color theme="1" tint="0.499984740745262"/>
      </font>
      <fill>
        <patternFill>
          <bgColor theme="2" tint="-9.9948118533890809E-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523875</xdr:colOff>
      <xdr:row>76</xdr:row>
      <xdr:rowOff>38100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0255029-5909-4E67-B154-8AB5DBC5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7675" cy="1391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136072</xdr:rowOff>
    </xdr:from>
    <xdr:to>
      <xdr:col>5</xdr:col>
      <xdr:colOff>457074</xdr:colOff>
      <xdr:row>72</xdr:row>
      <xdr:rowOff>15049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C688742-E0C9-4B90-AFA9-C17ED032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108"/>
          <a:ext cx="4947431" cy="119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364704</xdr:colOff>
      <xdr:row>4</xdr:row>
      <xdr:rowOff>113551</xdr:rowOff>
    </xdr:from>
    <xdr:to>
      <xdr:col>8</xdr:col>
      <xdr:colOff>258024</xdr:colOff>
      <xdr:row>7</xdr:row>
      <xdr:rowOff>46989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55061" y="943587"/>
          <a:ext cx="2587534" cy="477723"/>
        </a:xfrm>
        <a:prstGeom prst="wedgeRectCallout">
          <a:avLst>
            <a:gd name="adj1" fmla="val -70386"/>
            <a:gd name="adj2" fmla="val 57752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</a:rPr>
            <a:t>Click here to select voltage.</a:t>
          </a:r>
        </a:p>
      </xdr:txBody>
    </xdr:sp>
    <xdr:clientData/>
  </xdr:twoCellAnchor>
  <xdr:twoCellAnchor editAs="oneCell">
    <xdr:from>
      <xdr:col>5</xdr:col>
      <xdr:colOff>350818</xdr:colOff>
      <xdr:row>7</xdr:row>
      <xdr:rowOff>129643</xdr:rowOff>
    </xdr:from>
    <xdr:to>
      <xdr:col>8</xdr:col>
      <xdr:colOff>221054</xdr:colOff>
      <xdr:row>9</xdr:row>
      <xdr:rowOff>124957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841175" y="1503964"/>
          <a:ext cx="2564450" cy="349100"/>
        </a:xfrm>
        <a:prstGeom prst="wedgeRectCallout">
          <a:avLst>
            <a:gd name="adj1" fmla="val -69488"/>
            <a:gd name="adj2" fmla="val -10292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Click here to secelt USF frame.</a:t>
          </a:r>
        </a:p>
      </xdr:txBody>
    </xdr:sp>
    <xdr:clientData/>
  </xdr:twoCellAnchor>
  <xdr:twoCellAnchor editAs="oneCell">
    <xdr:from>
      <xdr:col>4</xdr:col>
      <xdr:colOff>800163</xdr:colOff>
      <xdr:row>11</xdr:row>
      <xdr:rowOff>9687</xdr:rowOff>
    </xdr:from>
    <xdr:to>
      <xdr:col>5</xdr:col>
      <xdr:colOff>330573</xdr:colOff>
      <xdr:row>65</xdr:row>
      <xdr:rowOff>11207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86045" y="2105187"/>
          <a:ext cx="426881" cy="9683402"/>
        </a:xfrm>
        <a:prstGeom prst="rightBracket">
          <a:avLst>
            <a:gd name="adj" fmla="val 119162"/>
          </a:avLst>
        </a:prstGeom>
        <a:noFill/>
        <a:ln w="3600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5</xdr:col>
      <xdr:colOff>724254</xdr:colOff>
      <xdr:row>36</xdr:row>
      <xdr:rowOff>78917</xdr:rowOff>
    </xdr:from>
    <xdr:to>
      <xdr:col>8</xdr:col>
      <xdr:colOff>489904</xdr:colOff>
      <xdr:row>40</xdr:row>
      <xdr:rowOff>30093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14611" y="6583131"/>
          <a:ext cx="2459864" cy="658748"/>
        </a:xfrm>
        <a:prstGeom prst="wedgeRectCallout">
          <a:avLst>
            <a:gd name="adj1" fmla="val -61569"/>
            <a:gd name="adj2" fmla="val -37739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altLang="ja-JP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Click each cell to enter the number</a:t>
          </a:r>
        </a:p>
        <a:p>
          <a:pPr marL="0" indent="0">
            <a:lnSpc>
              <a:spcPct val="100000"/>
            </a:lnSpc>
          </a:pPr>
          <a:r>
            <a:rPr lang="en-US" altLang="ja-JP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of modules to mount.</a:t>
          </a:r>
        </a:p>
        <a:p>
          <a:pPr marL="0" indent="0">
            <a:lnSpc>
              <a:spcPct val="100000"/>
            </a:lnSpc>
          </a:pPr>
          <a:r>
            <a:rPr lang="en-US" altLang="ja-JP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The module on yellow cell can install.</a:t>
          </a:r>
        </a:p>
      </xdr:txBody>
    </xdr:sp>
    <xdr:clientData/>
  </xdr:twoCellAnchor>
  <xdr:twoCellAnchor editAs="oneCell">
    <xdr:from>
      <xdr:col>5</xdr:col>
      <xdr:colOff>516830</xdr:colOff>
      <xdr:row>65</xdr:row>
      <xdr:rowOff>137065</xdr:rowOff>
    </xdr:from>
    <xdr:to>
      <xdr:col>8</xdr:col>
      <xdr:colOff>254027</xdr:colOff>
      <xdr:row>70</xdr:row>
      <xdr:rowOff>30914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007187" y="11771172"/>
          <a:ext cx="2431411" cy="778313"/>
        </a:xfrm>
        <a:prstGeom prst="wedgeRectCallout">
          <a:avLst>
            <a:gd name="adj1" fmla="val -77122"/>
            <a:gd name="adj2" fmla="val 15810"/>
          </a:avLst>
        </a:prstGeom>
        <a:solidFill>
          <a:srgbClr val="FFC000"/>
        </a:soli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Results are displayed here.</a:t>
          </a:r>
        </a:p>
        <a:p>
          <a:pPr marL="0" indent="0">
            <a:lnSpc>
              <a:spcPct val="100000"/>
            </a:lnSpc>
          </a:pPr>
          <a:r>
            <a:rPr lang="en-US" sz="12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(Required slots / upper limit)</a:t>
          </a:r>
        </a:p>
        <a:p>
          <a:pPr>
            <a:lnSpc>
              <a:spcPct val="100000"/>
            </a:lnSpc>
          </a:pP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369000</xdr:colOff>
      <xdr:row>10</xdr:row>
      <xdr:rowOff>38235</xdr:rowOff>
    </xdr:from>
    <xdr:to>
      <xdr:col>8</xdr:col>
      <xdr:colOff>273983</xdr:colOff>
      <xdr:row>12</xdr:row>
      <xdr:rowOff>163465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59357" y="1943235"/>
          <a:ext cx="2599197" cy="479016"/>
        </a:xfrm>
        <a:prstGeom prst="wedgeRectCallout">
          <a:avLst>
            <a:gd name="adj1" fmla="val -69934"/>
            <a:gd name="adj2" fmla="val -65818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Click here to select whether to use</a:t>
          </a:r>
        </a:p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a redundant power supply.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2"/>
  <sheetViews>
    <sheetView showGridLines="0" tabSelected="1" zoomScaleNormal="100" workbookViewId="0"/>
  </sheetViews>
  <sheetFormatPr defaultRowHeight="14.25" x14ac:dyDescent="0.15"/>
  <sheetData>
    <row r="1" spans="1:1" ht="24" x14ac:dyDescent="0.15">
      <c r="A1" s="2"/>
    </row>
    <row r="2" spans="1:1" x14ac:dyDescent="0.15">
      <c r="A2" s="28"/>
    </row>
    <row r="27" spans="1:5" x14ac:dyDescent="0.15">
      <c r="A27" s="1"/>
      <c r="B27" s="1"/>
      <c r="C27" s="1"/>
      <c r="D27" s="1"/>
      <c r="E27" s="1"/>
    </row>
    <row r="35" spans="1:5" x14ac:dyDescent="0.15">
      <c r="D35" s="1"/>
      <c r="E35" s="1"/>
    </row>
    <row r="36" spans="1:5" x14ac:dyDescent="0.15">
      <c r="D36" s="1"/>
      <c r="E36" s="1"/>
    </row>
    <row r="37" spans="1:5" x14ac:dyDescent="0.15">
      <c r="E37" s="1"/>
    </row>
    <row r="40" spans="1:5" x14ac:dyDescent="0.15">
      <c r="A40" s="5"/>
      <c r="B40" s="1"/>
      <c r="C40" s="1"/>
      <c r="D40" s="1"/>
    </row>
    <row r="41" spans="1:5" x14ac:dyDescent="0.15">
      <c r="A41" s="6"/>
      <c r="B41" s="1"/>
      <c r="C41" s="1"/>
    </row>
    <row r="42" spans="1:5" x14ac:dyDescent="0.15">
      <c r="A42" s="6"/>
      <c r="B42" s="1"/>
      <c r="C42" s="1"/>
    </row>
  </sheetData>
  <sheetProtection algorithmName="SHA-512" hashValue="ZziroDqD2jGW9sqg9LgSZe7vYAnYkClVlqaASoh7Fiic2bcFYOAZ1qa82/A2eOh59v7brTW2Z8PQI7A1o41bOQ==" saltValue="TDVo/WWcxDWUjTmnNMlzrQ==" spinCount="100000" sheet="1" objects="1" scenarios="1"/>
  <phoneticPr fontId="4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75"/>
  <sheetViews>
    <sheetView showGridLines="0" zoomScale="85" zoomScaleNormal="85" workbookViewId="0">
      <selection activeCell="K20" sqref="K20"/>
    </sheetView>
  </sheetViews>
  <sheetFormatPr defaultRowHeight="14.25" x14ac:dyDescent="0.15"/>
  <cols>
    <col min="1" max="9" width="11.75" style="1" customWidth="1"/>
  </cols>
  <sheetData>
    <row r="1" spans="1:2" ht="24" x14ac:dyDescent="0.15">
      <c r="A1" s="2" t="s">
        <v>181</v>
      </c>
    </row>
    <row r="2" spans="1:2" x14ac:dyDescent="0.15">
      <c r="A2" s="30" t="s">
        <v>182</v>
      </c>
    </row>
    <row r="3" spans="1:2" ht="13.5" customHeight="1" x14ac:dyDescent="0.15">
      <c r="A3" s="35" t="s">
        <v>183</v>
      </c>
    </row>
    <row r="5" spans="1:2" ht="15" customHeight="1" x14ac:dyDescent="0.15">
      <c r="A5" s="93" t="s">
        <v>184</v>
      </c>
      <c r="B5" s="35"/>
    </row>
    <row r="38" spans="1:5" x14ac:dyDescent="0.15">
      <c r="A38"/>
      <c r="B38"/>
      <c r="C38"/>
      <c r="D38"/>
      <c r="E38"/>
    </row>
    <row r="39" spans="1:5" x14ac:dyDescent="0.15">
      <c r="A39"/>
      <c r="B39"/>
      <c r="C39"/>
      <c r="D39"/>
      <c r="E39"/>
    </row>
    <row r="40" spans="1:5" x14ac:dyDescent="0.15">
      <c r="A40"/>
      <c r="B40"/>
      <c r="C40"/>
      <c r="D40"/>
      <c r="E40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73" spans="1:1" ht="15" x14ac:dyDescent="0.15">
      <c r="A73" s="35" t="s">
        <v>178</v>
      </c>
    </row>
    <row r="74" spans="1:1" ht="15" x14ac:dyDescent="0.15">
      <c r="A74" s="35" t="s">
        <v>179</v>
      </c>
    </row>
    <row r="75" spans="1:1" ht="15" x14ac:dyDescent="0.15">
      <c r="A75" s="35" t="s">
        <v>180</v>
      </c>
    </row>
  </sheetData>
  <sheetProtection algorithmName="SHA-512" hashValue="ton6vxDyIzTOJg+0UVvN2KAuD45/rYK0x9/zpWrHEU0aMKvrp3IqvtgbH+h4afyiC456XxeBs0Nxh03D/vZizA==" saltValue="yTDiHgeW+wkvmHHFpp7ivw==" spinCount="100000" sheet="1" objects="1" scenarios="1"/>
  <phoneticPr fontId="4"/>
  <pageMargins left="0.75" right="0.75" top="1" bottom="1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43"/>
  <sheetViews>
    <sheetView showGridLines="0" zoomScale="70" zoomScaleNormal="70" zoomScalePageLayoutView="90" workbookViewId="0">
      <selection activeCell="D4" sqref="D4"/>
    </sheetView>
  </sheetViews>
  <sheetFormatPr defaultRowHeight="15" x14ac:dyDescent="0.15"/>
  <cols>
    <col min="1" max="1" width="13.25" style="78" customWidth="1"/>
    <col min="2" max="2" width="30.75" style="37" customWidth="1"/>
    <col min="3" max="3" width="13" style="37" customWidth="1"/>
    <col min="4" max="4" width="17.25" style="37" customWidth="1"/>
    <col min="5" max="5" width="11" style="37" customWidth="1"/>
    <col min="6" max="6" width="29.125" style="78" customWidth="1"/>
    <col min="7" max="10" width="11.75" style="78" customWidth="1"/>
    <col min="11" max="11" width="12" style="84" customWidth="1"/>
    <col min="12" max="12" width="11.875" style="78" customWidth="1"/>
    <col min="13" max="13" width="23.25" style="84" customWidth="1"/>
    <col min="14" max="14" width="23.25" style="78" customWidth="1"/>
    <col min="15" max="15" width="53.125" style="78" customWidth="1"/>
    <col min="16" max="16384" width="9" style="37"/>
  </cols>
  <sheetData>
    <row r="1" spans="1:15" ht="27" thickBot="1" x14ac:dyDescent="0.2">
      <c r="A1" s="103" t="s">
        <v>122</v>
      </c>
      <c r="B1" s="103"/>
      <c r="C1" s="103"/>
      <c r="D1" s="103"/>
      <c r="E1" s="103"/>
      <c r="F1" s="35"/>
      <c r="G1" s="35"/>
      <c r="H1" s="35"/>
      <c r="I1" s="35"/>
      <c r="J1" s="35"/>
      <c r="K1" s="36"/>
      <c r="L1" s="35"/>
      <c r="M1" s="36"/>
      <c r="N1" s="35"/>
      <c r="O1" s="35"/>
    </row>
    <row r="2" spans="1:15" ht="15.75" thickBot="1" x14ac:dyDescent="0.2">
      <c r="A2" s="35"/>
      <c r="B2" s="38" t="s">
        <v>123</v>
      </c>
      <c r="C2" s="39" t="s">
        <v>68</v>
      </c>
      <c r="D2" s="40" t="s">
        <v>124</v>
      </c>
      <c r="E2" s="35"/>
      <c r="F2" s="35"/>
      <c r="G2" s="35"/>
      <c r="H2" s="35"/>
      <c r="I2" s="35"/>
      <c r="J2" s="35"/>
      <c r="K2" s="36"/>
      <c r="L2" s="35"/>
      <c r="M2" s="36"/>
      <c r="N2" s="35"/>
      <c r="O2" s="35"/>
    </row>
    <row r="3" spans="1:15" ht="15.75" thickBot="1" x14ac:dyDescent="0.2">
      <c r="A3" s="104" t="s">
        <v>125</v>
      </c>
      <c r="B3" s="41" t="s">
        <v>126</v>
      </c>
      <c r="C3" s="42"/>
      <c r="D3" s="43" t="s">
        <v>21</v>
      </c>
      <c r="E3" s="35"/>
      <c r="F3" s="35"/>
      <c r="G3" s="35"/>
      <c r="H3" s="35"/>
      <c r="I3" s="35"/>
      <c r="J3" s="35"/>
      <c r="K3" s="36"/>
      <c r="L3" s="35"/>
      <c r="M3" s="36"/>
      <c r="N3" s="35"/>
      <c r="O3" s="35"/>
    </row>
    <row r="4" spans="1:15" ht="30" customHeight="1" thickBot="1" x14ac:dyDescent="0.2">
      <c r="A4" s="104"/>
      <c r="B4" s="44" t="s">
        <v>127</v>
      </c>
      <c r="C4" s="45"/>
      <c r="D4" s="46" t="s">
        <v>120</v>
      </c>
      <c r="E4" s="35"/>
      <c r="F4" s="105" t="s">
        <v>155</v>
      </c>
      <c r="G4" s="107" t="s">
        <v>156</v>
      </c>
      <c r="H4" s="107"/>
      <c r="I4" s="107"/>
      <c r="J4" s="107"/>
      <c r="K4" s="107"/>
      <c r="L4" s="108"/>
      <c r="M4" s="97" t="s">
        <v>157</v>
      </c>
      <c r="N4" s="97" t="s">
        <v>158</v>
      </c>
      <c r="O4" s="99" t="s">
        <v>159</v>
      </c>
    </row>
    <row r="5" spans="1:15" ht="15.75" thickBot="1" x14ac:dyDescent="0.2">
      <c r="A5" s="104"/>
      <c r="B5" s="47" t="str">
        <f>IF(OR( D4 = "USF-105S",D4 = "USF-105AS"),"USF-105PS（Option Power Supply）","USF-212PS（Option Power Supply）")</f>
        <v>USF-212PS（Option Power Supply）</v>
      </c>
      <c r="C5" s="48"/>
      <c r="D5" s="49" t="s">
        <v>107</v>
      </c>
      <c r="E5" s="35"/>
      <c r="F5" s="106"/>
      <c r="G5" s="50" t="s">
        <v>100</v>
      </c>
      <c r="H5" s="51" t="s">
        <v>1</v>
      </c>
      <c r="I5" s="51" t="s">
        <v>2</v>
      </c>
      <c r="J5" s="51" t="s">
        <v>3</v>
      </c>
      <c r="K5" s="51" t="s">
        <v>52</v>
      </c>
      <c r="L5" s="51" t="s">
        <v>4</v>
      </c>
      <c r="M5" s="98"/>
      <c r="N5" s="98"/>
      <c r="O5" s="100"/>
    </row>
    <row r="6" spans="1:15" ht="48" customHeight="1" x14ac:dyDescent="0.15">
      <c r="A6" s="109" t="s">
        <v>128</v>
      </c>
      <c r="B6" s="52" t="s">
        <v>102</v>
      </c>
      <c r="C6" s="53">
        <v>2</v>
      </c>
      <c r="D6" s="54">
        <v>0</v>
      </c>
      <c r="E6" s="35"/>
      <c r="F6" s="94" t="s">
        <v>102</v>
      </c>
      <c r="G6" s="88" t="s">
        <v>166</v>
      </c>
      <c r="H6" s="55" t="s">
        <v>72</v>
      </c>
      <c r="I6" s="55" t="s">
        <v>72</v>
      </c>
      <c r="J6" s="60" t="s">
        <v>72</v>
      </c>
      <c r="K6" s="60" t="s">
        <v>72</v>
      </c>
      <c r="L6" s="55" t="s">
        <v>72</v>
      </c>
      <c r="M6" s="112" t="s">
        <v>175</v>
      </c>
      <c r="N6" s="113"/>
      <c r="O6" s="56" t="s">
        <v>174</v>
      </c>
    </row>
    <row r="7" spans="1:15" ht="48" customHeight="1" x14ac:dyDescent="0.15">
      <c r="A7" s="110"/>
      <c r="B7" s="57" t="s">
        <v>103</v>
      </c>
      <c r="C7" s="58">
        <v>3</v>
      </c>
      <c r="D7" s="54">
        <v>0</v>
      </c>
      <c r="E7" s="35"/>
      <c r="F7" s="59" t="s">
        <v>103</v>
      </c>
      <c r="G7" s="89" t="s">
        <v>166</v>
      </c>
      <c r="H7" s="60" t="s">
        <v>72</v>
      </c>
      <c r="I7" s="60" t="s">
        <v>72</v>
      </c>
      <c r="J7" s="60" t="s">
        <v>72</v>
      </c>
      <c r="K7" s="60" t="s">
        <v>72</v>
      </c>
      <c r="L7" s="60" t="s">
        <v>72</v>
      </c>
      <c r="M7" s="114" t="s">
        <v>175</v>
      </c>
      <c r="N7" s="115"/>
      <c r="O7" s="61" t="s">
        <v>173</v>
      </c>
    </row>
    <row r="8" spans="1:15" ht="48" customHeight="1" x14ac:dyDescent="0.15">
      <c r="A8" s="110"/>
      <c r="B8" s="57" t="s">
        <v>104</v>
      </c>
      <c r="C8" s="58">
        <v>2</v>
      </c>
      <c r="D8" s="54">
        <v>0</v>
      </c>
      <c r="E8" s="35"/>
      <c r="F8" s="59" t="s">
        <v>104</v>
      </c>
      <c r="G8" s="89" t="s">
        <v>166</v>
      </c>
      <c r="H8" s="89" t="s">
        <v>166</v>
      </c>
      <c r="I8" s="60" t="s">
        <v>72</v>
      </c>
      <c r="J8" s="60" t="s">
        <v>72</v>
      </c>
      <c r="K8" s="60" t="s">
        <v>72</v>
      </c>
      <c r="L8" s="60" t="s">
        <v>72</v>
      </c>
      <c r="M8" s="116" t="s">
        <v>176</v>
      </c>
      <c r="N8" s="115"/>
      <c r="O8" s="62" t="s">
        <v>172</v>
      </c>
    </row>
    <row r="9" spans="1:15" ht="48" customHeight="1" x14ac:dyDescent="0.15">
      <c r="A9" s="110"/>
      <c r="B9" s="57" t="s">
        <v>105</v>
      </c>
      <c r="C9" s="58">
        <v>3</v>
      </c>
      <c r="D9" s="54">
        <v>0</v>
      </c>
      <c r="E9" s="35"/>
      <c r="F9" s="59" t="s">
        <v>105</v>
      </c>
      <c r="G9" s="89" t="s">
        <v>166</v>
      </c>
      <c r="H9" s="89" t="s">
        <v>166</v>
      </c>
      <c r="I9" s="60" t="s">
        <v>72</v>
      </c>
      <c r="J9" s="60" t="s">
        <v>72</v>
      </c>
      <c r="K9" s="60" t="s">
        <v>72</v>
      </c>
      <c r="L9" s="60" t="s">
        <v>72</v>
      </c>
      <c r="M9" s="116" t="s">
        <v>177</v>
      </c>
      <c r="N9" s="115"/>
      <c r="O9" s="62" t="s">
        <v>171</v>
      </c>
    </row>
    <row r="10" spans="1:15" ht="48" customHeight="1" x14ac:dyDescent="0.15">
      <c r="A10" s="110"/>
      <c r="B10" s="57" t="s">
        <v>106</v>
      </c>
      <c r="C10" s="58">
        <v>1</v>
      </c>
      <c r="D10" s="54">
        <v>0</v>
      </c>
      <c r="E10" s="35"/>
      <c r="F10" s="63" t="s">
        <v>121</v>
      </c>
      <c r="G10" s="89" t="s">
        <v>166</v>
      </c>
      <c r="H10" s="89" t="s">
        <v>166</v>
      </c>
      <c r="I10" s="89" t="s">
        <v>166</v>
      </c>
      <c r="J10" s="89" t="s">
        <v>166</v>
      </c>
      <c r="K10" s="89" t="s">
        <v>166</v>
      </c>
      <c r="L10" s="89" t="s">
        <v>166</v>
      </c>
      <c r="M10" s="64">
        <v>2</v>
      </c>
      <c r="N10" s="64">
        <v>2</v>
      </c>
      <c r="O10" s="65" t="s">
        <v>170</v>
      </c>
    </row>
    <row r="11" spans="1:15" ht="45" x14ac:dyDescent="0.15">
      <c r="A11" s="110"/>
      <c r="B11" s="66" t="s">
        <v>41</v>
      </c>
      <c r="C11" s="58">
        <v>1</v>
      </c>
      <c r="D11" s="54">
        <v>0</v>
      </c>
      <c r="E11" s="35"/>
      <c r="F11" s="67" t="s">
        <v>49</v>
      </c>
      <c r="G11" s="89" t="s">
        <v>166</v>
      </c>
      <c r="H11" s="89" t="s">
        <v>166</v>
      </c>
      <c r="I11" s="60" t="s">
        <v>72</v>
      </c>
      <c r="J11" s="60" t="s">
        <v>72</v>
      </c>
      <c r="K11" s="89" t="s">
        <v>166</v>
      </c>
      <c r="L11" s="60" t="s">
        <v>72</v>
      </c>
      <c r="M11" s="68">
        <v>1</v>
      </c>
      <c r="N11" s="69" t="s">
        <v>85</v>
      </c>
      <c r="O11" s="70" t="s">
        <v>137</v>
      </c>
    </row>
    <row r="12" spans="1:15" ht="30" customHeight="1" x14ac:dyDescent="0.15">
      <c r="A12" s="110"/>
      <c r="B12" s="71" t="s">
        <v>86</v>
      </c>
      <c r="C12" s="72">
        <v>1</v>
      </c>
      <c r="D12" s="73">
        <v>0</v>
      </c>
      <c r="E12" s="35"/>
      <c r="F12" s="44" t="s">
        <v>5</v>
      </c>
      <c r="G12" s="89" t="s">
        <v>166</v>
      </c>
      <c r="H12" s="89" t="s">
        <v>166</v>
      </c>
      <c r="I12" s="89" t="s">
        <v>166</v>
      </c>
      <c r="J12" s="89" t="s">
        <v>166</v>
      </c>
      <c r="K12" s="89" t="s">
        <v>166</v>
      </c>
      <c r="L12" s="60" t="s">
        <v>72</v>
      </c>
      <c r="M12" s="74">
        <v>2</v>
      </c>
      <c r="N12" s="74">
        <v>4</v>
      </c>
      <c r="O12" s="75" t="s">
        <v>160</v>
      </c>
    </row>
    <row r="13" spans="1:15" ht="30" customHeight="1" x14ac:dyDescent="0.15">
      <c r="A13" s="110"/>
      <c r="B13" s="71" t="s">
        <v>42</v>
      </c>
      <c r="C13" s="72">
        <v>2</v>
      </c>
      <c r="D13" s="73">
        <v>0</v>
      </c>
      <c r="E13" s="35"/>
      <c r="F13" s="44" t="s">
        <v>42</v>
      </c>
      <c r="G13" s="89" t="s">
        <v>166</v>
      </c>
      <c r="H13" s="89" t="s">
        <v>166</v>
      </c>
      <c r="I13" s="89" t="s">
        <v>166</v>
      </c>
      <c r="J13" s="60" t="s">
        <v>72</v>
      </c>
      <c r="K13" s="89" t="s">
        <v>166</v>
      </c>
      <c r="L13" s="89" t="s">
        <v>166</v>
      </c>
      <c r="M13" s="74">
        <v>1</v>
      </c>
      <c r="N13" s="74">
        <v>4</v>
      </c>
      <c r="O13" s="92" t="s">
        <v>169</v>
      </c>
    </row>
    <row r="14" spans="1:15" ht="30" customHeight="1" x14ac:dyDescent="0.15">
      <c r="A14" s="110"/>
      <c r="B14" s="71" t="s">
        <v>44</v>
      </c>
      <c r="C14" s="72">
        <v>2</v>
      </c>
      <c r="D14" s="73">
        <v>0</v>
      </c>
      <c r="E14" s="35"/>
      <c r="F14" s="44" t="s">
        <v>44</v>
      </c>
      <c r="G14" s="89" t="s">
        <v>166</v>
      </c>
      <c r="H14" s="89" t="s">
        <v>166</v>
      </c>
      <c r="I14" s="60" t="s">
        <v>72</v>
      </c>
      <c r="J14" s="60" t="s">
        <v>72</v>
      </c>
      <c r="K14" s="89" t="s">
        <v>166</v>
      </c>
      <c r="L14" s="60" t="s">
        <v>72</v>
      </c>
      <c r="M14" s="74">
        <v>1</v>
      </c>
      <c r="N14" s="74">
        <v>6</v>
      </c>
      <c r="O14" s="76" t="s">
        <v>138</v>
      </c>
    </row>
    <row r="15" spans="1:15" ht="48" customHeight="1" x14ac:dyDescent="0.15">
      <c r="A15" s="110"/>
      <c r="B15" s="71" t="s">
        <v>62</v>
      </c>
      <c r="C15" s="72">
        <v>2</v>
      </c>
      <c r="D15" s="73">
        <v>0</v>
      </c>
      <c r="E15" s="35"/>
      <c r="F15" s="44" t="s">
        <v>6</v>
      </c>
      <c r="G15" s="89" t="s">
        <v>166</v>
      </c>
      <c r="H15" s="89" t="s">
        <v>166</v>
      </c>
      <c r="I15" s="89" t="s">
        <v>166</v>
      </c>
      <c r="J15" s="60" t="s">
        <v>72</v>
      </c>
      <c r="K15" s="89" t="s">
        <v>166</v>
      </c>
      <c r="L15" s="60" t="s">
        <v>72</v>
      </c>
      <c r="M15" s="74">
        <v>1</v>
      </c>
      <c r="N15" s="77" t="s">
        <v>76</v>
      </c>
      <c r="O15" s="76" t="s">
        <v>139</v>
      </c>
    </row>
    <row r="16" spans="1:15" ht="30" customHeight="1" x14ac:dyDescent="0.15">
      <c r="A16" s="110"/>
      <c r="B16" s="71" t="s">
        <v>63</v>
      </c>
      <c r="C16" s="72">
        <v>2</v>
      </c>
      <c r="D16" s="73">
        <v>0</v>
      </c>
      <c r="E16" s="35"/>
      <c r="F16" s="44" t="s">
        <v>7</v>
      </c>
      <c r="G16" s="89" t="s">
        <v>166</v>
      </c>
      <c r="H16" s="89" t="s">
        <v>166</v>
      </c>
      <c r="I16" s="89" t="s">
        <v>166</v>
      </c>
      <c r="J16" s="60" t="s">
        <v>72</v>
      </c>
      <c r="K16" s="89" t="s">
        <v>166</v>
      </c>
      <c r="L16" s="60" t="s">
        <v>72</v>
      </c>
      <c r="M16" s="74">
        <v>1</v>
      </c>
      <c r="N16" s="77" t="s">
        <v>77</v>
      </c>
      <c r="O16" s="76" t="s">
        <v>140</v>
      </c>
    </row>
    <row r="17" spans="1:16" ht="30" customHeight="1" x14ac:dyDescent="0.15">
      <c r="A17" s="110"/>
      <c r="B17" s="71" t="s">
        <v>64</v>
      </c>
      <c r="C17" s="72">
        <v>2</v>
      </c>
      <c r="D17" s="73">
        <v>0</v>
      </c>
      <c r="E17" s="35"/>
      <c r="F17" s="44" t="s">
        <v>8</v>
      </c>
      <c r="G17" s="89" t="s">
        <v>166</v>
      </c>
      <c r="H17" s="89" t="s">
        <v>166</v>
      </c>
      <c r="I17" s="89" t="s">
        <v>166</v>
      </c>
      <c r="J17" s="89" t="s">
        <v>166</v>
      </c>
      <c r="K17" s="89" t="s">
        <v>166</v>
      </c>
      <c r="L17" s="60" t="s">
        <v>72</v>
      </c>
      <c r="M17" s="77">
        <v>1</v>
      </c>
      <c r="N17" s="77" t="s">
        <v>78</v>
      </c>
      <c r="O17" s="76" t="s">
        <v>161</v>
      </c>
    </row>
    <row r="18" spans="1:16" ht="30" customHeight="1" x14ac:dyDescent="0.15">
      <c r="A18" s="110"/>
      <c r="B18" s="71" t="s">
        <v>65</v>
      </c>
      <c r="C18" s="72">
        <v>1</v>
      </c>
      <c r="D18" s="73">
        <v>0</v>
      </c>
      <c r="E18" s="35"/>
      <c r="F18" s="44" t="s">
        <v>9</v>
      </c>
      <c r="G18" s="89" t="s">
        <v>166</v>
      </c>
      <c r="H18" s="89" t="s">
        <v>166</v>
      </c>
      <c r="I18" s="89" t="s">
        <v>166</v>
      </c>
      <c r="J18" s="60" t="s">
        <v>72</v>
      </c>
      <c r="K18" s="89" t="s">
        <v>166</v>
      </c>
      <c r="L18" s="60" t="s">
        <v>72</v>
      </c>
      <c r="M18" s="77">
        <v>1</v>
      </c>
      <c r="N18" s="77">
        <v>5</v>
      </c>
      <c r="O18" s="76" t="s">
        <v>141</v>
      </c>
    </row>
    <row r="19" spans="1:16" ht="30" customHeight="1" x14ac:dyDescent="0.15">
      <c r="A19" s="110"/>
      <c r="B19" s="71" t="s">
        <v>40</v>
      </c>
      <c r="C19" s="72">
        <v>2</v>
      </c>
      <c r="D19" s="73">
        <v>0</v>
      </c>
      <c r="E19" s="35"/>
      <c r="F19" s="44" t="s">
        <v>40</v>
      </c>
      <c r="G19" s="89" t="s">
        <v>166</v>
      </c>
      <c r="H19" s="89" t="s">
        <v>166</v>
      </c>
      <c r="I19" s="60" t="s">
        <v>72</v>
      </c>
      <c r="J19" s="60" t="s">
        <v>72</v>
      </c>
      <c r="K19" s="89" t="s">
        <v>166</v>
      </c>
      <c r="L19" s="60" t="s">
        <v>72</v>
      </c>
      <c r="M19" s="77">
        <v>1</v>
      </c>
      <c r="N19" s="77">
        <v>11</v>
      </c>
      <c r="O19" s="76" t="s">
        <v>142</v>
      </c>
    </row>
    <row r="20" spans="1:16" ht="30" customHeight="1" x14ac:dyDescent="0.15">
      <c r="A20" s="110"/>
      <c r="B20" s="71" t="s">
        <v>87</v>
      </c>
      <c r="C20" s="72">
        <v>1</v>
      </c>
      <c r="D20" s="73">
        <v>0</v>
      </c>
      <c r="E20" s="35"/>
      <c r="F20" s="44" t="s">
        <v>10</v>
      </c>
      <c r="G20" s="89" t="s">
        <v>166</v>
      </c>
      <c r="H20" s="89" t="s">
        <v>166</v>
      </c>
      <c r="I20" s="89" t="s">
        <v>166</v>
      </c>
      <c r="J20" s="89" t="s">
        <v>166</v>
      </c>
      <c r="K20" s="89" t="s">
        <v>166</v>
      </c>
      <c r="L20" s="89" t="s">
        <v>166</v>
      </c>
      <c r="M20" s="77">
        <v>1</v>
      </c>
      <c r="N20" s="77">
        <v>5</v>
      </c>
      <c r="O20" s="76" t="s">
        <v>162</v>
      </c>
    </row>
    <row r="21" spans="1:16" ht="30" customHeight="1" x14ac:dyDescent="0.15">
      <c r="A21" s="110"/>
      <c r="B21" s="71" t="s">
        <v>88</v>
      </c>
      <c r="C21" s="72">
        <v>1</v>
      </c>
      <c r="D21" s="73">
        <v>0</v>
      </c>
      <c r="E21" s="35"/>
      <c r="F21" s="44" t="s">
        <v>11</v>
      </c>
      <c r="G21" s="89" t="s">
        <v>167</v>
      </c>
      <c r="H21" s="89" t="s">
        <v>167</v>
      </c>
      <c r="I21" s="89" t="s">
        <v>167</v>
      </c>
      <c r="J21" s="89" t="s">
        <v>166</v>
      </c>
      <c r="K21" s="89" t="s">
        <v>167</v>
      </c>
      <c r="L21" s="89" t="s">
        <v>167</v>
      </c>
      <c r="M21" s="77">
        <v>1</v>
      </c>
      <c r="N21" s="77">
        <v>4</v>
      </c>
      <c r="O21" s="76" t="s">
        <v>143</v>
      </c>
    </row>
    <row r="22" spans="1:16" ht="30" customHeight="1" x14ac:dyDescent="0.15">
      <c r="A22" s="110"/>
      <c r="B22" s="71" t="s">
        <v>89</v>
      </c>
      <c r="C22" s="72">
        <v>1</v>
      </c>
      <c r="D22" s="73">
        <v>0</v>
      </c>
      <c r="E22" s="35"/>
      <c r="F22" s="44" t="s">
        <v>12</v>
      </c>
      <c r="G22" s="89" t="s">
        <v>166</v>
      </c>
      <c r="H22" s="89" t="s">
        <v>166</v>
      </c>
      <c r="I22" s="89" t="s">
        <v>166</v>
      </c>
      <c r="J22" s="89" t="s">
        <v>166</v>
      </c>
      <c r="K22" s="89" t="s">
        <v>166</v>
      </c>
      <c r="L22" s="60" t="s">
        <v>72</v>
      </c>
      <c r="M22" s="77">
        <v>1</v>
      </c>
      <c r="N22" s="77">
        <v>4</v>
      </c>
      <c r="O22" s="76" t="s">
        <v>144</v>
      </c>
    </row>
    <row r="23" spans="1:16" ht="30" customHeight="1" x14ac:dyDescent="0.15">
      <c r="A23" s="110"/>
      <c r="B23" s="71" t="s">
        <v>90</v>
      </c>
      <c r="C23" s="72">
        <v>2</v>
      </c>
      <c r="D23" s="73">
        <v>0</v>
      </c>
      <c r="E23" s="35"/>
      <c r="F23" s="44" t="s">
        <v>13</v>
      </c>
      <c r="G23" s="89" t="s">
        <v>167</v>
      </c>
      <c r="H23" s="89" t="s">
        <v>167</v>
      </c>
      <c r="I23" s="89" t="s">
        <v>167</v>
      </c>
      <c r="J23" s="89" t="s">
        <v>166</v>
      </c>
      <c r="K23" s="89" t="s">
        <v>167</v>
      </c>
      <c r="L23" s="89" t="s">
        <v>167</v>
      </c>
      <c r="M23" s="77">
        <v>1</v>
      </c>
      <c r="N23" s="77">
        <v>10</v>
      </c>
      <c r="O23" s="76" t="s">
        <v>143</v>
      </c>
    </row>
    <row r="24" spans="1:16" ht="30" customHeight="1" x14ac:dyDescent="0.15">
      <c r="A24" s="110"/>
      <c r="B24" s="71" t="s">
        <v>91</v>
      </c>
      <c r="C24" s="72">
        <v>2</v>
      </c>
      <c r="D24" s="73">
        <v>0</v>
      </c>
      <c r="E24" s="35"/>
      <c r="F24" s="44" t="s">
        <v>14</v>
      </c>
      <c r="G24" s="89" t="s">
        <v>166</v>
      </c>
      <c r="H24" s="89" t="s">
        <v>166</v>
      </c>
      <c r="I24" s="89" t="s">
        <v>166</v>
      </c>
      <c r="J24" s="89" t="s">
        <v>166</v>
      </c>
      <c r="K24" s="89" t="s">
        <v>166</v>
      </c>
      <c r="L24" s="60" t="s">
        <v>72</v>
      </c>
      <c r="M24" s="77">
        <v>1</v>
      </c>
      <c r="N24" s="77">
        <v>10</v>
      </c>
      <c r="O24" s="76" t="s">
        <v>144</v>
      </c>
    </row>
    <row r="25" spans="1:16" ht="30" customHeight="1" x14ac:dyDescent="0.15">
      <c r="A25" s="110"/>
      <c r="B25" s="71" t="s">
        <v>92</v>
      </c>
      <c r="C25" s="72">
        <v>2</v>
      </c>
      <c r="D25" s="73">
        <v>0</v>
      </c>
      <c r="E25" s="35"/>
      <c r="F25" s="44" t="s">
        <v>45</v>
      </c>
      <c r="G25" s="89" t="s">
        <v>166</v>
      </c>
      <c r="H25" s="89" t="s">
        <v>166</v>
      </c>
      <c r="I25" s="89" t="s">
        <v>166</v>
      </c>
      <c r="J25" s="60" t="s">
        <v>72</v>
      </c>
      <c r="K25" s="89" t="s">
        <v>166</v>
      </c>
      <c r="L25" s="89" t="s">
        <v>166</v>
      </c>
      <c r="M25" s="77">
        <v>1</v>
      </c>
      <c r="N25" s="77">
        <v>4</v>
      </c>
      <c r="O25" s="76" t="s">
        <v>168</v>
      </c>
    </row>
    <row r="26" spans="1:16" ht="30" customHeight="1" x14ac:dyDescent="0.15">
      <c r="A26" s="110"/>
      <c r="B26" s="71" t="s">
        <v>93</v>
      </c>
      <c r="C26" s="72">
        <v>1</v>
      </c>
      <c r="D26" s="73">
        <v>0</v>
      </c>
      <c r="E26" s="35"/>
      <c r="F26" s="44" t="s">
        <v>43</v>
      </c>
      <c r="G26" s="89" t="s">
        <v>166</v>
      </c>
      <c r="H26" s="89" t="s">
        <v>166</v>
      </c>
      <c r="I26" s="89" t="s">
        <v>166</v>
      </c>
      <c r="J26" s="60" t="s">
        <v>72</v>
      </c>
      <c r="K26" s="89" t="s">
        <v>166</v>
      </c>
      <c r="L26" s="89" t="s">
        <v>166</v>
      </c>
      <c r="M26" s="77">
        <v>2</v>
      </c>
      <c r="N26" s="77">
        <v>4</v>
      </c>
      <c r="O26" s="76" t="s">
        <v>145</v>
      </c>
    </row>
    <row r="27" spans="1:16" ht="30" customHeight="1" x14ac:dyDescent="0.15">
      <c r="A27" s="110"/>
      <c r="B27" s="71" t="s">
        <v>46</v>
      </c>
      <c r="C27" s="72">
        <v>2</v>
      </c>
      <c r="D27" s="73">
        <v>0</v>
      </c>
      <c r="E27" s="35"/>
      <c r="F27" s="44" t="s">
        <v>50</v>
      </c>
      <c r="G27" s="89" t="s">
        <v>166</v>
      </c>
      <c r="H27" s="89" t="s">
        <v>166</v>
      </c>
      <c r="I27" s="60" t="s">
        <v>72</v>
      </c>
      <c r="J27" s="60" t="s">
        <v>72</v>
      </c>
      <c r="K27" s="89" t="s">
        <v>166</v>
      </c>
      <c r="L27" s="60" t="s">
        <v>72</v>
      </c>
      <c r="M27" s="77" t="s">
        <v>79</v>
      </c>
      <c r="N27" s="77" t="s">
        <v>79</v>
      </c>
      <c r="O27" s="76" t="s">
        <v>146</v>
      </c>
      <c r="P27" s="78"/>
    </row>
    <row r="28" spans="1:16" ht="30" customHeight="1" x14ac:dyDescent="0.15">
      <c r="A28" s="110"/>
      <c r="B28" s="71" t="s">
        <v>94</v>
      </c>
      <c r="C28" s="72">
        <v>2</v>
      </c>
      <c r="D28" s="73">
        <v>0</v>
      </c>
      <c r="E28" s="35"/>
      <c r="F28" s="44" t="s">
        <v>47</v>
      </c>
      <c r="G28" s="89" t="s">
        <v>166</v>
      </c>
      <c r="H28" s="89" t="s">
        <v>166</v>
      </c>
      <c r="I28" s="60" t="s">
        <v>72</v>
      </c>
      <c r="J28" s="60" t="s">
        <v>72</v>
      </c>
      <c r="K28" s="89" t="s">
        <v>166</v>
      </c>
      <c r="L28" s="60" t="s">
        <v>72</v>
      </c>
      <c r="M28" s="77" t="s">
        <v>80</v>
      </c>
      <c r="N28" s="77" t="s">
        <v>80</v>
      </c>
      <c r="O28" s="76" t="s">
        <v>147</v>
      </c>
    </row>
    <row r="29" spans="1:16" ht="30" customHeight="1" x14ac:dyDescent="0.15">
      <c r="A29" s="110"/>
      <c r="B29" s="71" t="s">
        <v>95</v>
      </c>
      <c r="C29" s="72">
        <v>1</v>
      </c>
      <c r="D29" s="73">
        <v>0</v>
      </c>
      <c r="E29" s="35"/>
      <c r="F29" s="44" t="s">
        <v>15</v>
      </c>
      <c r="G29" s="89" t="s">
        <v>166</v>
      </c>
      <c r="H29" s="89" t="s">
        <v>166</v>
      </c>
      <c r="I29" s="89" t="s">
        <v>166</v>
      </c>
      <c r="J29" s="89" t="s">
        <v>166</v>
      </c>
      <c r="K29" s="89" t="s">
        <v>166</v>
      </c>
      <c r="L29" s="60" t="s">
        <v>72</v>
      </c>
      <c r="M29" s="77" t="s">
        <v>81</v>
      </c>
      <c r="N29" s="74">
        <v>1</v>
      </c>
      <c r="O29" s="76" t="s">
        <v>163</v>
      </c>
    </row>
    <row r="30" spans="1:16" ht="30" customHeight="1" x14ac:dyDescent="0.15">
      <c r="A30" s="110"/>
      <c r="B30" s="71" t="s">
        <v>96</v>
      </c>
      <c r="C30" s="72">
        <v>1</v>
      </c>
      <c r="D30" s="73">
        <v>0</v>
      </c>
      <c r="E30" s="35"/>
      <c r="F30" s="44" t="s">
        <v>16</v>
      </c>
      <c r="G30" s="89" t="s">
        <v>166</v>
      </c>
      <c r="H30" s="89" t="s">
        <v>166</v>
      </c>
      <c r="I30" s="89" t="s">
        <v>166</v>
      </c>
      <c r="J30" s="89" t="s">
        <v>166</v>
      </c>
      <c r="K30" s="89" t="s">
        <v>166</v>
      </c>
      <c r="L30" s="60" t="s">
        <v>72</v>
      </c>
      <c r="M30" s="77">
        <v>1</v>
      </c>
      <c r="N30" s="77" t="s">
        <v>81</v>
      </c>
      <c r="O30" s="76" t="s">
        <v>164</v>
      </c>
    </row>
    <row r="31" spans="1:16" ht="30" customHeight="1" x14ac:dyDescent="0.15">
      <c r="A31" s="110"/>
      <c r="B31" s="71" t="s">
        <v>39</v>
      </c>
      <c r="C31" s="72">
        <v>1</v>
      </c>
      <c r="D31" s="73">
        <v>0</v>
      </c>
      <c r="E31" s="35"/>
      <c r="F31" s="44" t="s">
        <v>39</v>
      </c>
      <c r="G31" s="89" t="s">
        <v>166</v>
      </c>
      <c r="H31" s="89" t="s">
        <v>166</v>
      </c>
      <c r="I31" s="89" t="s">
        <v>166</v>
      </c>
      <c r="J31" s="89" t="s">
        <v>166</v>
      </c>
      <c r="K31" s="89" t="s">
        <v>166</v>
      </c>
      <c r="L31" s="89" t="s">
        <v>166</v>
      </c>
      <c r="M31" s="77" t="s">
        <v>82</v>
      </c>
      <c r="N31" s="77" t="s">
        <v>83</v>
      </c>
      <c r="O31" s="76" t="s">
        <v>165</v>
      </c>
      <c r="P31" s="78"/>
    </row>
    <row r="32" spans="1:16" ht="30" customHeight="1" x14ac:dyDescent="0.15">
      <c r="A32" s="110"/>
      <c r="B32" s="71" t="s">
        <v>97</v>
      </c>
      <c r="C32" s="72">
        <v>1</v>
      </c>
      <c r="D32" s="73">
        <v>0</v>
      </c>
      <c r="E32" s="35"/>
      <c r="F32" s="44" t="s">
        <v>18</v>
      </c>
      <c r="G32" s="89" t="s">
        <v>166</v>
      </c>
      <c r="H32" s="89" t="s">
        <v>166</v>
      </c>
      <c r="I32" s="89" t="s">
        <v>166</v>
      </c>
      <c r="J32" s="89" t="s">
        <v>166</v>
      </c>
      <c r="K32" s="89" t="s">
        <v>166</v>
      </c>
      <c r="L32" s="89" t="s">
        <v>166</v>
      </c>
      <c r="M32" s="77" t="s">
        <v>148</v>
      </c>
      <c r="N32" s="77" t="s">
        <v>84</v>
      </c>
      <c r="O32" s="76" t="s">
        <v>149</v>
      </c>
    </row>
    <row r="33" spans="1:15" ht="30" customHeight="1" x14ac:dyDescent="0.15">
      <c r="A33" s="110"/>
      <c r="B33" s="71" t="s">
        <v>48</v>
      </c>
      <c r="C33" s="72">
        <v>1</v>
      </c>
      <c r="D33" s="73">
        <v>0</v>
      </c>
      <c r="E33" s="35"/>
      <c r="F33" s="44" t="s">
        <v>48</v>
      </c>
      <c r="G33" s="89" t="s">
        <v>166</v>
      </c>
      <c r="H33" s="89" t="s">
        <v>166</v>
      </c>
      <c r="I33" s="89" t="s">
        <v>166</v>
      </c>
      <c r="J33" s="60" t="s">
        <v>72</v>
      </c>
      <c r="K33" s="89" t="s">
        <v>166</v>
      </c>
      <c r="L33" s="89" t="s">
        <v>166</v>
      </c>
      <c r="M33" s="77" t="s">
        <v>84</v>
      </c>
      <c r="N33" s="77" t="s">
        <v>148</v>
      </c>
      <c r="O33" s="76" t="s">
        <v>150</v>
      </c>
    </row>
    <row r="34" spans="1:15" ht="30" customHeight="1" x14ac:dyDescent="0.15">
      <c r="A34" s="110"/>
      <c r="B34" s="71" t="s">
        <v>98</v>
      </c>
      <c r="C34" s="72">
        <v>1</v>
      </c>
      <c r="D34" s="73">
        <v>0</v>
      </c>
      <c r="E34" s="35"/>
      <c r="F34" s="44" t="s">
        <v>19</v>
      </c>
      <c r="G34" s="89" t="s">
        <v>167</v>
      </c>
      <c r="H34" s="89" t="s">
        <v>167</v>
      </c>
      <c r="I34" s="89" t="s">
        <v>167</v>
      </c>
      <c r="J34" s="89" t="s">
        <v>166</v>
      </c>
      <c r="K34" s="89" t="s">
        <v>167</v>
      </c>
      <c r="L34" s="89" t="s">
        <v>167</v>
      </c>
      <c r="M34" s="77" t="s">
        <v>151</v>
      </c>
      <c r="N34" s="77" t="s">
        <v>152</v>
      </c>
      <c r="O34" s="76" t="s">
        <v>153</v>
      </c>
    </row>
    <row r="35" spans="1:15" ht="30" customHeight="1" thickBot="1" x14ac:dyDescent="0.2">
      <c r="A35" s="110"/>
      <c r="B35" s="71" t="s">
        <v>99</v>
      </c>
      <c r="C35" s="72">
        <v>1</v>
      </c>
      <c r="D35" s="73">
        <v>0</v>
      </c>
      <c r="E35" s="35"/>
      <c r="F35" s="47" t="s">
        <v>20</v>
      </c>
      <c r="G35" s="90" t="s">
        <v>166</v>
      </c>
      <c r="H35" s="90" t="s">
        <v>166</v>
      </c>
      <c r="I35" s="90" t="s">
        <v>166</v>
      </c>
      <c r="J35" s="90" t="s">
        <v>166</v>
      </c>
      <c r="K35" s="90" t="s">
        <v>166</v>
      </c>
      <c r="L35" s="91" t="s">
        <v>72</v>
      </c>
      <c r="M35" s="51" t="s">
        <v>151</v>
      </c>
      <c r="N35" s="51" t="s">
        <v>152</v>
      </c>
      <c r="O35" s="79" t="s">
        <v>154</v>
      </c>
    </row>
    <row r="36" spans="1:15" ht="30" customHeight="1" thickBot="1" x14ac:dyDescent="0.25">
      <c r="A36" s="111"/>
      <c r="B36" s="80" t="s">
        <v>71</v>
      </c>
      <c r="C36" s="81">
        <v>1</v>
      </c>
      <c r="D36" s="82">
        <f>DataTable!J81</f>
        <v>0</v>
      </c>
      <c r="E36" s="35"/>
      <c r="F36" s="86" t="s">
        <v>134</v>
      </c>
      <c r="G36" s="35"/>
      <c r="H36" s="35"/>
      <c r="I36" s="35"/>
      <c r="J36" s="35"/>
      <c r="K36" s="36"/>
      <c r="L36" s="35"/>
      <c r="M36" s="36"/>
      <c r="N36" s="35"/>
      <c r="O36" s="35"/>
    </row>
    <row r="37" spans="1:15" x14ac:dyDescent="0.15">
      <c r="A37" s="35"/>
      <c r="B37" s="35"/>
      <c r="C37" s="35"/>
      <c r="D37" s="35"/>
      <c r="E37" s="35"/>
      <c r="F37" s="87" t="s">
        <v>135</v>
      </c>
      <c r="G37" s="35"/>
      <c r="H37" s="35"/>
      <c r="I37" s="35"/>
      <c r="J37" s="35"/>
      <c r="K37" s="36"/>
      <c r="L37" s="35"/>
      <c r="M37" s="36"/>
      <c r="N37" s="35"/>
      <c r="O37" s="35"/>
    </row>
    <row r="38" spans="1:15" x14ac:dyDescent="0.15">
      <c r="A38" s="35"/>
      <c r="B38" s="35"/>
      <c r="C38" s="35"/>
      <c r="D38" s="35"/>
      <c r="E38" s="35"/>
      <c r="F38" s="87" t="s">
        <v>136</v>
      </c>
      <c r="G38" s="35"/>
      <c r="H38" s="35"/>
      <c r="I38" s="35"/>
      <c r="J38" s="35"/>
      <c r="K38" s="36"/>
      <c r="L38" s="35"/>
      <c r="M38" s="36"/>
      <c r="N38" s="35"/>
      <c r="O38" s="35"/>
    </row>
    <row r="39" spans="1:15" ht="30" x14ac:dyDescent="0.15">
      <c r="A39" s="101" t="s">
        <v>129</v>
      </c>
      <c r="B39" s="85" t="s">
        <v>130</v>
      </c>
      <c r="C39" s="117" t="str">
        <f>IF(AND(DataTable!J82,DataTable!L82),"Available ("&amp;SUM(DataTable!J51:J81)&amp;"/"&amp;DataTable!J50&amp;")","Not Available ("&amp;SUM(DataTable!J51:J81)&amp;"/"&amp;DataTable!J50&amp;")")</f>
        <v>Available (0/12)</v>
      </c>
      <c r="D39" s="118"/>
      <c r="E39" s="35"/>
      <c r="F39" s="35"/>
      <c r="G39" s="35"/>
      <c r="H39" s="35"/>
      <c r="I39" s="35"/>
      <c r="J39" s="35"/>
      <c r="K39" s="36"/>
      <c r="L39" s="35"/>
      <c r="M39" s="36"/>
      <c r="N39" s="35"/>
      <c r="O39" s="35"/>
    </row>
    <row r="40" spans="1:15" x14ac:dyDescent="0.15">
      <c r="A40" s="102"/>
      <c r="B40" s="83" t="s">
        <v>131</v>
      </c>
      <c r="C40" s="95">
        <f>DataTable!M46</f>
        <v>54.6</v>
      </c>
      <c r="D40" s="96"/>
      <c r="E40" s="35"/>
      <c r="F40" s="35"/>
      <c r="G40" s="35"/>
      <c r="H40" s="35"/>
      <c r="I40" s="35"/>
      <c r="J40" s="35"/>
      <c r="K40" s="36"/>
      <c r="L40" s="35"/>
      <c r="M40" s="36"/>
      <c r="N40" s="35"/>
      <c r="O40" s="35"/>
    </row>
    <row r="41" spans="1:15" x14ac:dyDescent="0.15">
      <c r="A41" s="102"/>
      <c r="B41" s="83" t="s">
        <v>132</v>
      </c>
      <c r="C41" s="95">
        <f>DataTable!N46</f>
        <v>60.2</v>
      </c>
      <c r="D41" s="96"/>
      <c r="E41" s="35"/>
      <c r="F41" s="35"/>
      <c r="G41" s="35"/>
      <c r="H41" s="35"/>
      <c r="I41" s="35"/>
      <c r="J41" s="35"/>
      <c r="K41" s="36"/>
      <c r="L41" s="35"/>
      <c r="M41" s="36"/>
      <c r="N41" s="35"/>
      <c r="O41" s="35"/>
    </row>
    <row r="42" spans="1:15" ht="17.25" x14ac:dyDescent="0.15">
      <c r="A42" s="35" t="s">
        <v>133</v>
      </c>
      <c r="B42" s="35"/>
      <c r="C42" s="35"/>
      <c r="D42" s="35"/>
      <c r="E42" s="35"/>
      <c r="F42" s="35"/>
      <c r="G42" s="35"/>
      <c r="H42" s="35"/>
      <c r="I42" s="35"/>
      <c r="J42" s="35"/>
      <c r="K42" s="36"/>
      <c r="L42" s="35"/>
      <c r="M42" s="36"/>
      <c r="N42" s="35"/>
      <c r="O42" s="35"/>
    </row>
    <row r="43" spans="1:15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6"/>
      <c r="L43" s="35"/>
      <c r="M43" s="36"/>
      <c r="N43" s="35"/>
      <c r="O43" s="35"/>
    </row>
  </sheetData>
  <sheetProtection algorithmName="SHA-512" hashValue="5F/N8l2a+KRC57jBJudavqCRBimnUgynv8/xbDZlvX5Oc3crhwOw1Vi28YLVyAT42EpGOQD/Ea9yZaBQtV6UkQ==" saltValue="VQuJvuGP5Z+RaP68jxVCfg==" spinCount="100000" sheet="1" objects="1" scenarios="1"/>
  <dataConsolidate/>
  <mergeCells count="16">
    <mergeCell ref="C41:D41"/>
    <mergeCell ref="N4:N5"/>
    <mergeCell ref="O4:O5"/>
    <mergeCell ref="A39:A41"/>
    <mergeCell ref="A1:E1"/>
    <mergeCell ref="A3:A5"/>
    <mergeCell ref="F4:F5"/>
    <mergeCell ref="M4:M5"/>
    <mergeCell ref="G4:L4"/>
    <mergeCell ref="A6:A36"/>
    <mergeCell ref="M6:N6"/>
    <mergeCell ref="M7:N7"/>
    <mergeCell ref="M8:N8"/>
    <mergeCell ref="M9:N9"/>
    <mergeCell ref="C39:D39"/>
    <mergeCell ref="C40:D40"/>
  </mergeCells>
  <phoneticPr fontId="4"/>
  <conditionalFormatting sqref="C39">
    <cfRule type="containsText" dxfId="2" priority="1" operator="containsText" text="Not Available">
      <formula>NOT(ISERROR(SEARCH("Not Available",C39)))</formula>
    </cfRule>
  </conditionalFormatting>
  <dataValidations count="1">
    <dataValidation allowBlank="1" showErrorMessage="1" sqref="D6:D35" xr:uid="{00000000-0002-0000-0200-000000000000}">
      <formula1>0</formula1>
      <formula2>12</formula2>
    </dataValidation>
  </dataValidations>
  <pageMargins left="0.74803149606299213" right="0.74803149606299213" top="0.98425196850393704" bottom="0.98425196850393704" header="0.51181102362204722" footer="0.51181102362204722"/>
  <pageSetup paperSize="9" scale="28" firstPageNumber="0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6" id="{73DAA52F-7478-472E-943B-B7A968FE7CAA}">
            <xm:f>DataTable!K51</xm:f>
            <x14:dxf>
              <font>
                <b val="0"/>
                <i val="0"/>
                <strike val="0"/>
              </font>
              <fill>
                <patternFill>
                  <bgColor theme="7" tint="0.79998168889431442"/>
                </patternFill>
              </fill>
            </x14:dxf>
          </x14:cfRule>
          <xm:sqref>D6:D35</xm:sqref>
        </x14:conditionalFormatting>
        <x14:conditionalFormatting xmlns:xm="http://schemas.microsoft.com/office/excel/2006/main">
          <x14:cfRule type="expression" priority="67" id="{E8EB8610-23A3-4DD1-BAA4-1608F18729D2}">
            <xm:f>NOT(DataTable!K51)</xm:f>
            <x14:dxf>
              <font>
                <b val="0"/>
                <i val="0"/>
                <color theme="1" tint="0.499984740745262"/>
              </font>
              <fill>
                <patternFill>
                  <bgColor theme="2" tint="-9.9948118533890809E-2"/>
                </patternFill>
              </fill>
            </x14:dxf>
          </x14:cfRule>
          <xm:sqref>D6:D36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xr:uid="{00000000-0002-0000-0200-000001000000}">
          <x14:formula1>
            <xm:f>DataTable!$B$87:$B$90</xm:f>
          </x14:formula1>
          <x14:formula2>
            <xm:f>0</xm:f>
          </x14:formula2>
          <xm:sqref>D3</xm:sqref>
        </x14:dataValidation>
        <x14:dataValidation type="list" operator="equal" allowBlank="1" showErrorMessage="1" xr:uid="{00000000-0002-0000-0200-000002000000}">
          <x14:formula1>
            <xm:f>DataTable!$C$87:$C$92</xm:f>
          </x14:formula1>
          <xm:sqref>D4</xm:sqref>
        </x14:dataValidation>
        <x14:dataValidation type="list" operator="equal" allowBlank="1" showErrorMessage="1" xr:uid="{00000000-0002-0000-0200-000003000000}">
          <x14:formula1>
            <xm:f>DataTable!$D$87:$D$88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12"/>
  <sheetViews>
    <sheetView topLeftCell="A37" zoomScale="55" zoomScaleNormal="55" zoomScaleSheetLayoutView="70" workbookViewId="0">
      <selection activeCell="I88" sqref="I88"/>
    </sheetView>
  </sheetViews>
  <sheetFormatPr defaultRowHeight="14.25" x14ac:dyDescent="0.15"/>
  <cols>
    <col min="1" max="1" width="3.75" style="4" customWidth="1"/>
    <col min="2" max="2" width="30.25" style="4" customWidth="1"/>
    <col min="3" max="4" width="12.75" style="4" customWidth="1"/>
    <col min="5" max="5" width="14.75" style="4" customWidth="1"/>
    <col min="6" max="14" width="12.75" style="4" customWidth="1"/>
  </cols>
  <sheetData>
    <row r="1" spans="1:14" s="4" customFormat="1" x14ac:dyDescent="0.15">
      <c r="A1" s="7"/>
      <c r="B1" s="7"/>
      <c r="C1" s="122" t="s">
        <v>55</v>
      </c>
      <c r="D1" s="123"/>
      <c r="E1" s="123"/>
      <c r="F1" s="124"/>
      <c r="G1" s="122" t="s">
        <v>56</v>
      </c>
      <c r="H1" s="123"/>
      <c r="I1" s="123"/>
      <c r="J1" s="124"/>
      <c r="K1" s="8" t="s">
        <v>57</v>
      </c>
      <c r="L1" s="8" t="s">
        <v>58</v>
      </c>
      <c r="M1" s="8" t="s">
        <v>57</v>
      </c>
      <c r="N1" s="8" t="s">
        <v>58</v>
      </c>
    </row>
    <row r="2" spans="1:14" s="4" customFormat="1" x14ac:dyDescent="0.15">
      <c r="A2" s="7">
        <v>1</v>
      </c>
      <c r="B2" s="7"/>
      <c r="C2" s="8" t="s">
        <v>21</v>
      </c>
      <c r="D2" s="8" t="s">
        <v>0</v>
      </c>
      <c r="E2" s="8" t="s">
        <v>22</v>
      </c>
      <c r="F2" s="8" t="s">
        <v>23</v>
      </c>
      <c r="G2" s="8" t="s">
        <v>21</v>
      </c>
      <c r="H2" s="8" t="s">
        <v>0</v>
      </c>
      <c r="I2" s="8" t="s">
        <v>22</v>
      </c>
      <c r="J2" s="8" t="s">
        <v>23</v>
      </c>
      <c r="K2" s="8" t="s">
        <v>59</v>
      </c>
      <c r="L2" s="8" t="s">
        <v>59</v>
      </c>
      <c r="M2" s="8" t="s">
        <v>60</v>
      </c>
      <c r="N2" s="8" t="s">
        <v>60</v>
      </c>
    </row>
    <row r="3" spans="1:14" s="4" customFormat="1" x14ac:dyDescent="0.15">
      <c r="A3" s="7">
        <v>2</v>
      </c>
      <c r="B3" s="7" t="s">
        <v>61</v>
      </c>
      <c r="C3" s="9">
        <v>18.7</v>
      </c>
      <c r="D3" s="9">
        <v>18.399999999999999</v>
      </c>
      <c r="E3" s="9">
        <v>18.2</v>
      </c>
      <c r="F3" s="9">
        <v>17.899999999999999</v>
      </c>
      <c r="G3" s="9">
        <v>22.5</v>
      </c>
      <c r="H3" s="9">
        <v>25.2</v>
      </c>
      <c r="I3" s="9">
        <v>48.1</v>
      </c>
      <c r="J3" s="9">
        <v>51.8</v>
      </c>
      <c r="K3" s="9">
        <f>HLOOKUP(Calculation!$D$3,$C$2:$F$45,A3,0)</f>
        <v>18.7</v>
      </c>
      <c r="L3" s="9">
        <f>HLOOKUP(Calculation!$D$3,$G$2:$J$45,A3,0)</f>
        <v>22.5</v>
      </c>
      <c r="M3" s="9">
        <f>IF(AND(Calculation!D$4=C90,Calculation!D$5=D88),K3,0)</f>
        <v>0</v>
      </c>
      <c r="N3" s="9">
        <f>IF(AND(Calculation!D$4=C90,Calculation!D$5=D88),L3,0)</f>
        <v>0</v>
      </c>
    </row>
    <row r="4" spans="1:14" s="4" customFormat="1" x14ac:dyDescent="0.15">
      <c r="A4" s="7">
        <v>3</v>
      </c>
      <c r="B4" s="7" t="s">
        <v>24</v>
      </c>
      <c r="C4" s="9">
        <v>28.3</v>
      </c>
      <c r="D4" s="9">
        <v>28</v>
      </c>
      <c r="E4" s="9">
        <v>26.6</v>
      </c>
      <c r="F4" s="9">
        <v>26.2</v>
      </c>
      <c r="G4" s="9">
        <v>36.700000000000003</v>
      </c>
      <c r="H4" s="9">
        <v>43.7</v>
      </c>
      <c r="I4" s="9">
        <v>82.5</v>
      </c>
      <c r="J4" s="9">
        <v>91.2</v>
      </c>
      <c r="K4" s="9">
        <f>HLOOKUP(Calculation!$D$3,$C$2:$F$45,A4,0)</f>
        <v>28.3</v>
      </c>
      <c r="L4" s="9">
        <f>HLOOKUP(Calculation!$D$3,$G$2:$J$45,A4,0)</f>
        <v>36.700000000000003</v>
      </c>
      <c r="M4" s="9">
        <f>IF(AND(Calculation!D$4=C90,Calculation!D$5=D87),K4,0)</f>
        <v>0</v>
      </c>
      <c r="N4" s="9">
        <f>IF(AND(Calculation!D$4=C90,Calculation!D$5=D87),L4,0)</f>
        <v>0</v>
      </c>
    </row>
    <row r="5" spans="1:14" s="4" customFormat="1" x14ac:dyDescent="0.15">
      <c r="A5" s="7">
        <v>4</v>
      </c>
      <c r="B5" s="7" t="s">
        <v>2</v>
      </c>
      <c r="C5" s="9">
        <v>27.7</v>
      </c>
      <c r="D5" s="9">
        <v>28.1</v>
      </c>
      <c r="E5" s="9">
        <v>27.9</v>
      </c>
      <c r="F5" s="9">
        <v>27.6</v>
      </c>
      <c r="G5" s="9">
        <v>30.4</v>
      </c>
      <c r="H5" s="9">
        <v>33.299999999999997</v>
      </c>
      <c r="I5" s="9">
        <v>57.2</v>
      </c>
      <c r="J5" s="9">
        <v>62.5</v>
      </c>
      <c r="K5" s="9">
        <f>HLOOKUP(Calculation!$D$3,$C$2:$F$45,A5,0)</f>
        <v>27.7</v>
      </c>
      <c r="L5" s="9">
        <f>HLOOKUP(Calculation!$D$3,$G$2:$J$45,A5,0)</f>
        <v>30.4</v>
      </c>
      <c r="M5" s="9">
        <f>IF(AND(Calculation!D$4=C89,Calculation!D$5=D88),K5,0)</f>
        <v>0</v>
      </c>
      <c r="N5" s="9">
        <f>IF(AND(Calculation!D$4=C89,Calculation!D$5=D88),L5,0)</f>
        <v>0</v>
      </c>
    </row>
    <row r="6" spans="1:14" s="4" customFormat="1" x14ac:dyDescent="0.15">
      <c r="A6" s="7">
        <v>5</v>
      </c>
      <c r="B6" s="7" t="s">
        <v>25</v>
      </c>
      <c r="C6" s="9">
        <v>39.9</v>
      </c>
      <c r="D6" s="9">
        <v>39.700000000000003</v>
      </c>
      <c r="E6" s="9">
        <v>39.299999999999997</v>
      </c>
      <c r="F6" s="9">
        <v>38.799999999999997</v>
      </c>
      <c r="G6" s="9">
        <v>46.4</v>
      </c>
      <c r="H6" s="9">
        <v>52.5</v>
      </c>
      <c r="I6" s="9">
        <v>98.6</v>
      </c>
      <c r="J6" s="9">
        <v>106.8</v>
      </c>
      <c r="K6" s="9">
        <f>HLOOKUP(Calculation!$D$3,$C$2:$F$45,A6,0)</f>
        <v>39.9</v>
      </c>
      <c r="L6" s="9">
        <f>HLOOKUP(Calculation!$D$3,$G$2:$J$45,A6,0)</f>
        <v>46.4</v>
      </c>
      <c r="M6" s="9">
        <f>IF(AND(Calculation!D$4=C89,Calculation!D$5=D87),K6,0)</f>
        <v>0</v>
      </c>
      <c r="N6" s="9">
        <f>IF(AND(Calculation!D$4=C89,Calculation!D$5=D87),L6,0)</f>
        <v>0</v>
      </c>
    </row>
    <row r="7" spans="1:14" s="4" customFormat="1" x14ac:dyDescent="0.15">
      <c r="A7" s="7">
        <v>6</v>
      </c>
      <c r="B7" s="7" t="s">
        <v>4</v>
      </c>
      <c r="C7" s="9">
        <v>17</v>
      </c>
      <c r="D7" s="9">
        <v>16.899999999999999</v>
      </c>
      <c r="E7" s="9">
        <v>17</v>
      </c>
      <c r="F7" s="9">
        <v>17.2</v>
      </c>
      <c r="G7" s="9">
        <v>18.61</v>
      </c>
      <c r="H7" s="9">
        <v>18.87</v>
      </c>
      <c r="I7" s="9">
        <v>25.48</v>
      </c>
      <c r="J7" s="9">
        <v>30.37</v>
      </c>
      <c r="K7" s="9">
        <f>HLOOKUP(Calculation!$D$3,$C$2:$F$45,A7,0)</f>
        <v>17</v>
      </c>
      <c r="L7" s="9">
        <f>HLOOKUP(Calculation!$D$3,$G$2:$J$45,A7,0)</f>
        <v>18.61</v>
      </c>
      <c r="M7" s="9">
        <f>IF(AND(Calculation!D$4=C92,Calculation!D$5=D88),K7,0)</f>
        <v>0</v>
      </c>
      <c r="N7" s="9">
        <f>IF(AND(Calculation!D$4=C92,Calculation!D$5=D88),L7,0)</f>
        <v>0</v>
      </c>
    </row>
    <row r="8" spans="1:14" s="4" customFormat="1" x14ac:dyDescent="0.15">
      <c r="A8" s="7">
        <v>7</v>
      </c>
      <c r="B8" s="10" t="s">
        <v>26</v>
      </c>
      <c r="C8" s="9">
        <v>20</v>
      </c>
      <c r="D8" s="9">
        <v>20</v>
      </c>
      <c r="E8" s="9">
        <v>19.7</v>
      </c>
      <c r="F8" s="9">
        <v>19.600000000000001</v>
      </c>
      <c r="G8" s="9">
        <v>23.11</v>
      </c>
      <c r="H8" s="9">
        <v>24.1</v>
      </c>
      <c r="I8" s="9">
        <v>38.729999999999997</v>
      </c>
      <c r="J8" s="9">
        <v>45.18</v>
      </c>
      <c r="K8" s="9">
        <f>HLOOKUP(Calculation!$D$3,$C$2:$F$45,A8,0)</f>
        <v>20</v>
      </c>
      <c r="L8" s="9">
        <f>HLOOKUP(Calculation!$D$3,$G$2:$J$45,A8,0)</f>
        <v>23.11</v>
      </c>
      <c r="M8" s="9">
        <f>IF(AND(Calculation!D$4=C92,Calculation!D$5=D87),K8,0)</f>
        <v>0</v>
      </c>
      <c r="N8" s="9">
        <f>IF(AND(Calculation!D$4=C92,Calculation!D$5=D87),L8,0)</f>
        <v>0</v>
      </c>
    </row>
    <row r="9" spans="1:14" s="4" customFormat="1" x14ac:dyDescent="0.15">
      <c r="A9" s="7">
        <v>8</v>
      </c>
      <c r="B9" s="7" t="s">
        <v>1</v>
      </c>
      <c r="C9" s="9">
        <v>30.71</v>
      </c>
      <c r="D9" s="9">
        <v>30.9</v>
      </c>
      <c r="E9" s="9">
        <v>30.88</v>
      </c>
      <c r="F9" s="9">
        <v>30.58</v>
      </c>
      <c r="G9" s="9">
        <v>33.58</v>
      </c>
      <c r="H9" s="9">
        <v>35.369999999999997</v>
      </c>
      <c r="I9" s="9">
        <v>60.07</v>
      </c>
      <c r="J9" s="9">
        <v>63.78</v>
      </c>
      <c r="K9" s="9">
        <f>HLOOKUP(Calculation!$D$3,$C$2:$F$45,A9,0)</f>
        <v>30.71</v>
      </c>
      <c r="L9" s="9">
        <f>HLOOKUP(Calculation!$D$3,$G$2:$J$45,A9,0)</f>
        <v>33.58</v>
      </c>
      <c r="M9" s="9">
        <f>IF(AND(Calculation!D$4=C88,Calculation!D$5=D88),K9,0)</f>
        <v>0</v>
      </c>
      <c r="N9" s="9">
        <f>IF(AND(Calculation!D$4=C88,Calculation!D$5=D88),L9,0)</f>
        <v>0</v>
      </c>
    </row>
    <row r="10" spans="1:14" s="4" customFormat="1" x14ac:dyDescent="0.15">
      <c r="A10" s="7">
        <v>9</v>
      </c>
      <c r="B10" s="7" t="s">
        <v>27</v>
      </c>
      <c r="C10" s="9">
        <v>42.91</v>
      </c>
      <c r="D10" s="9">
        <v>42.5</v>
      </c>
      <c r="E10" s="9">
        <v>42.28</v>
      </c>
      <c r="F10" s="9">
        <v>41.78</v>
      </c>
      <c r="G10" s="9">
        <v>46.68</v>
      </c>
      <c r="H10" s="9">
        <v>54.57</v>
      </c>
      <c r="I10" s="9">
        <v>101.47</v>
      </c>
      <c r="J10" s="9">
        <v>108.08</v>
      </c>
      <c r="K10" s="9">
        <f>HLOOKUP(Calculation!$D$3,$C$2:$F$45,A10,0)</f>
        <v>42.91</v>
      </c>
      <c r="L10" s="9">
        <f>HLOOKUP(Calculation!$D$3,$G$2:$J$45,A10,0)</f>
        <v>46.68</v>
      </c>
      <c r="M10" s="9">
        <f>IF(AND(Calculation!D$4=C88,Calculation!D$5=D87),K10,0)</f>
        <v>0</v>
      </c>
      <c r="N10" s="9">
        <f>IF(AND(Calculation!D$4=C88,Calculation!D$5=D87),L10,0)</f>
        <v>0</v>
      </c>
    </row>
    <row r="11" spans="1:14" s="4" customFormat="1" x14ac:dyDescent="0.15">
      <c r="A11" s="7">
        <v>10</v>
      </c>
      <c r="B11" s="7" t="s">
        <v>52</v>
      </c>
      <c r="C11" s="9">
        <v>34.4</v>
      </c>
      <c r="D11" s="9">
        <v>34.299999999999997</v>
      </c>
      <c r="E11" s="9">
        <v>31.6</v>
      </c>
      <c r="F11" s="9">
        <v>31.8</v>
      </c>
      <c r="G11" s="9">
        <v>39</v>
      </c>
      <c r="H11" s="9">
        <v>36.67</v>
      </c>
      <c r="I11" s="9">
        <v>40.75</v>
      </c>
      <c r="J11" s="9">
        <v>34.49</v>
      </c>
      <c r="K11" s="9">
        <f>HLOOKUP(Calculation!$D$3,$C$2:$F$45,A11,0)</f>
        <v>34.4</v>
      </c>
      <c r="L11" s="9">
        <f>HLOOKUP(Calculation!$D$3,$G$2:$J$45,A11,0)</f>
        <v>39</v>
      </c>
      <c r="M11" s="9">
        <f>IF(AND(Calculation!D$4=C91,Calculation!D$5=D88),K11,0)</f>
        <v>0</v>
      </c>
      <c r="N11" s="9">
        <f>IF(AND(Calculation!D$4=C91,Calculation!D$5=D88),L11,0)</f>
        <v>0</v>
      </c>
    </row>
    <row r="12" spans="1:14" s="4" customFormat="1" x14ac:dyDescent="0.15">
      <c r="A12" s="7">
        <v>11</v>
      </c>
      <c r="B12" s="7" t="s">
        <v>53</v>
      </c>
      <c r="C12" s="9">
        <v>37.4</v>
      </c>
      <c r="D12" s="9">
        <v>37.4</v>
      </c>
      <c r="E12" s="9">
        <v>34.299999999999997</v>
      </c>
      <c r="F12" s="9">
        <v>34.200000000000003</v>
      </c>
      <c r="G12" s="9">
        <v>43.5</v>
      </c>
      <c r="H12" s="9">
        <v>41.9</v>
      </c>
      <c r="I12" s="9">
        <v>54</v>
      </c>
      <c r="J12" s="9">
        <v>49.3</v>
      </c>
      <c r="K12" s="9">
        <f>HLOOKUP(Calculation!$D$3,$C$2:$F$45,A12,0)</f>
        <v>37.4</v>
      </c>
      <c r="L12" s="9">
        <f>HLOOKUP(Calculation!$D$3,$G$2:$J$45,A12,0)</f>
        <v>43.5</v>
      </c>
      <c r="M12" s="9">
        <f>IF(AND(Calculation!D$4=C91,Calculation!D$5=D87),K12,0)</f>
        <v>0</v>
      </c>
      <c r="N12" s="9">
        <f>IF(AND(Calculation!D$4=C91,Calculation!D$5=D87),L12,0)</f>
        <v>0</v>
      </c>
    </row>
    <row r="13" spans="1:14" s="4" customFormat="1" x14ac:dyDescent="0.15">
      <c r="A13" s="7">
        <v>12</v>
      </c>
      <c r="B13" s="7" t="s">
        <v>100</v>
      </c>
      <c r="C13" s="9">
        <v>42.1</v>
      </c>
      <c r="D13" s="9">
        <v>41.6</v>
      </c>
      <c r="E13" s="9">
        <v>41.9</v>
      </c>
      <c r="F13" s="9">
        <v>41.8</v>
      </c>
      <c r="G13" s="9">
        <v>44.8</v>
      </c>
      <c r="H13" s="9">
        <v>45.7</v>
      </c>
      <c r="I13" s="9">
        <v>71.8</v>
      </c>
      <c r="J13" s="9">
        <v>76.099999999999994</v>
      </c>
      <c r="K13" s="9">
        <f>HLOOKUP(Calculation!$D$3,$C$2:$F$45,A13,0)</f>
        <v>42.1</v>
      </c>
      <c r="L13" s="9">
        <f>HLOOKUP(Calculation!$D$3,$G$2:$J$45,A13,0)</f>
        <v>44.8</v>
      </c>
      <c r="M13" s="9">
        <f>IF(AND(Calculation!D$4=C87,Calculation!D$5=D88),K13,0)</f>
        <v>0</v>
      </c>
      <c r="N13" s="9">
        <f>IF(AND(Calculation!D$4=C87,Calculation!D$5=D88),L13,0)</f>
        <v>0</v>
      </c>
    </row>
    <row r="14" spans="1:14" s="4" customFormat="1" x14ac:dyDescent="0.15">
      <c r="A14" s="7">
        <v>13</v>
      </c>
      <c r="B14" s="7" t="s">
        <v>101</v>
      </c>
      <c r="C14" s="9">
        <v>54.6</v>
      </c>
      <c r="D14" s="9">
        <v>54.8</v>
      </c>
      <c r="E14" s="9">
        <v>54.2</v>
      </c>
      <c r="F14" s="9">
        <v>53.4</v>
      </c>
      <c r="G14" s="9">
        <v>60.2</v>
      </c>
      <c r="H14" s="9">
        <v>65.099999999999994</v>
      </c>
      <c r="I14" s="9">
        <v>111.3</v>
      </c>
      <c r="J14" s="9">
        <v>121.2</v>
      </c>
      <c r="K14" s="9">
        <f>HLOOKUP(Calculation!$D$3,$C$2:$F$45,A14,0)</f>
        <v>54.6</v>
      </c>
      <c r="L14" s="9">
        <f>HLOOKUP(Calculation!$D$3,$G$2:$J$45,A14,0)</f>
        <v>60.2</v>
      </c>
      <c r="M14" s="9">
        <f>IF(AND(Calculation!D$4=C87,Calculation!D$5=D87),K14,0)</f>
        <v>54.6</v>
      </c>
      <c r="N14" s="9">
        <f>IF(AND(Calculation!D$4=C87,Calculation!D$5=D87),L14,0)</f>
        <v>60.2</v>
      </c>
    </row>
    <row r="15" spans="1:14" s="4" customFormat="1" x14ac:dyDescent="0.15">
      <c r="A15" s="7">
        <v>14</v>
      </c>
      <c r="B15" s="7" t="s">
        <v>28</v>
      </c>
      <c r="C15" s="9">
        <v>12.2</v>
      </c>
      <c r="D15" s="9">
        <v>11.6</v>
      </c>
      <c r="E15" s="9">
        <v>11.4</v>
      </c>
      <c r="F15" s="9">
        <v>11.2</v>
      </c>
      <c r="G15" s="9">
        <v>13.1</v>
      </c>
      <c r="H15" s="9">
        <v>19.2</v>
      </c>
      <c r="I15" s="9">
        <v>41.4</v>
      </c>
      <c r="J15" s="9">
        <v>44.3</v>
      </c>
      <c r="K15" s="9">
        <f>HLOOKUP(Calculation!$D$3,$C$2:$F$45,A15,0)</f>
        <v>12.2</v>
      </c>
      <c r="L15" s="9">
        <f>HLOOKUP(Calculation!$D$3,$G$2:$J$45,A15,0)</f>
        <v>13.1</v>
      </c>
      <c r="M15" s="9">
        <f>0</f>
        <v>0</v>
      </c>
      <c r="N15" s="9">
        <f>0</f>
        <v>0</v>
      </c>
    </row>
    <row r="16" spans="1:14" s="4" customFormat="1" x14ac:dyDescent="0.15">
      <c r="A16" s="7">
        <v>15</v>
      </c>
      <c r="B16" s="7" t="s">
        <v>102</v>
      </c>
      <c r="C16" s="32">
        <v>76.2</v>
      </c>
      <c r="D16" s="32">
        <v>74.3</v>
      </c>
      <c r="E16" s="32">
        <v>73.099999999999994</v>
      </c>
      <c r="F16" s="32">
        <v>73.7</v>
      </c>
      <c r="G16" s="33">
        <v>74.73</v>
      </c>
      <c r="H16" s="33">
        <v>71.72</v>
      </c>
      <c r="I16" s="33">
        <v>62.16</v>
      </c>
      <c r="J16" s="33">
        <v>62.92</v>
      </c>
      <c r="K16" s="9">
        <f>HLOOKUP(Calculation!$D$3,$C$2:$F$45,A16,0)</f>
        <v>76.2</v>
      </c>
      <c r="L16" s="9">
        <f>HLOOKUP(Calculation!$D$3,$G$2:$J$45,A16,0)</f>
        <v>74.73</v>
      </c>
      <c r="M16" s="9">
        <f>K16*Calculation!D6</f>
        <v>0</v>
      </c>
      <c r="N16" s="9">
        <f>L16*Calculation!D6</f>
        <v>0</v>
      </c>
    </row>
    <row r="17" spans="1:14" s="4" customFormat="1" x14ac:dyDescent="0.15">
      <c r="A17" s="7">
        <v>16</v>
      </c>
      <c r="B17" s="7" t="s">
        <v>103</v>
      </c>
      <c r="C17" s="32">
        <v>114.6</v>
      </c>
      <c r="D17" s="32">
        <v>112.3</v>
      </c>
      <c r="E17" s="32">
        <v>110.2</v>
      </c>
      <c r="F17" s="32">
        <v>110.7</v>
      </c>
      <c r="G17" s="33">
        <v>113.05</v>
      </c>
      <c r="H17" s="33">
        <v>109.47</v>
      </c>
      <c r="I17" s="33">
        <v>95.72</v>
      </c>
      <c r="J17" s="33">
        <v>94.32</v>
      </c>
      <c r="K17" s="9">
        <f>HLOOKUP(Calculation!$D$3,$C$2:$F$45,A17,0)</f>
        <v>114.6</v>
      </c>
      <c r="L17" s="9">
        <f>HLOOKUP(Calculation!$D$3,$G$2:$J$45,A17,0)</f>
        <v>113.05</v>
      </c>
      <c r="M17" s="9">
        <f>K17*Calculation!D7</f>
        <v>0</v>
      </c>
      <c r="N17" s="9">
        <f>L17*Calculation!D7</f>
        <v>0</v>
      </c>
    </row>
    <row r="18" spans="1:14" s="4" customFormat="1" x14ac:dyDescent="0.15">
      <c r="A18" s="7">
        <v>17</v>
      </c>
      <c r="B18" s="7" t="s">
        <v>104</v>
      </c>
      <c r="C18" s="32">
        <v>71.900000000000006</v>
      </c>
      <c r="D18" s="32">
        <v>71.8</v>
      </c>
      <c r="E18" s="32">
        <v>69.2</v>
      </c>
      <c r="F18" s="32">
        <v>69.3</v>
      </c>
      <c r="G18" s="33">
        <v>70.83</v>
      </c>
      <c r="H18" s="33">
        <v>70.27</v>
      </c>
      <c r="I18" s="33">
        <v>56.78</v>
      </c>
      <c r="J18" s="33">
        <v>57.81</v>
      </c>
      <c r="K18" s="9">
        <f>HLOOKUP(Calculation!$D$3,$C$2:$F$45,A18,0)</f>
        <v>71.900000000000006</v>
      </c>
      <c r="L18" s="9">
        <f>HLOOKUP(Calculation!$D$3,$G$2:$J$45,A18,0)</f>
        <v>70.83</v>
      </c>
      <c r="M18" s="9">
        <f>K18*Calculation!D8</f>
        <v>0</v>
      </c>
      <c r="N18" s="9">
        <f>L18*Calculation!D8</f>
        <v>0</v>
      </c>
    </row>
    <row r="19" spans="1:14" s="4" customFormat="1" x14ac:dyDescent="0.15">
      <c r="A19" s="7">
        <v>18</v>
      </c>
      <c r="B19" s="7" t="s">
        <v>105</v>
      </c>
      <c r="C19" s="32">
        <v>77.400000000000006</v>
      </c>
      <c r="D19" s="32">
        <v>76.900000000000006</v>
      </c>
      <c r="E19" s="32">
        <v>74.2</v>
      </c>
      <c r="F19" s="32">
        <v>73.7</v>
      </c>
      <c r="G19" s="33">
        <v>76.290000000000006</v>
      </c>
      <c r="H19" s="33">
        <v>75.099999999999994</v>
      </c>
      <c r="I19" s="33">
        <v>61.6</v>
      </c>
      <c r="J19" s="33">
        <v>61.6</v>
      </c>
      <c r="K19" s="9">
        <f>HLOOKUP(Calculation!$D$3,$C$2:$F$45,A19,0)</f>
        <v>77.400000000000006</v>
      </c>
      <c r="L19" s="9">
        <f>HLOOKUP(Calculation!$D$3,$G$2:$J$45,A19,0)</f>
        <v>76.290000000000006</v>
      </c>
      <c r="M19" s="9">
        <f>K19*Calculation!D9</f>
        <v>0</v>
      </c>
      <c r="N19" s="9">
        <f>L19*Calculation!D9</f>
        <v>0</v>
      </c>
    </row>
    <row r="20" spans="1:14" s="4" customFormat="1" x14ac:dyDescent="0.15">
      <c r="A20" s="7">
        <v>19</v>
      </c>
      <c r="B20" s="7" t="s">
        <v>106</v>
      </c>
      <c r="C20" s="9">
        <v>21</v>
      </c>
      <c r="D20" s="9">
        <v>20.8</v>
      </c>
      <c r="E20" s="9">
        <v>21.1</v>
      </c>
      <c r="F20" s="9">
        <v>21.4</v>
      </c>
      <c r="G20" s="9">
        <v>21.2</v>
      </c>
      <c r="H20" s="9">
        <v>21.1</v>
      </c>
      <c r="I20" s="9">
        <v>18.600000000000001</v>
      </c>
      <c r="J20" s="9">
        <v>16</v>
      </c>
      <c r="K20" s="9">
        <f>HLOOKUP(Calculation!$D$3,$C$2:$F$45,A20,0)</f>
        <v>21</v>
      </c>
      <c r="L20" s="9">
        <f>HLOOKUP(Calculation!$D$3,$G$2:$J$45,A20,0)</f>
        <v>21.2</v>
      </c>
      <c r="M20" s="9">
        <f>K20*Calculation!D10</f>
        <v>0</v>
      </c>
      <c r="N20" s="9">
        <f>L20*Calculation!D10</f>
        <v>0</v>
      </c>
    </row>
    <row r="21" spans="1:14" s="4" customFormat="1" x14ac:dyDescent="0.15">
      <c r="A21" s="7">
        <v>20</v>
      </c>
      <c r="B21" s="7" t="s">
        <v>41</v>
      </c>
      <c r="C21" s="9">
        <v>29.7</v>
      </c>
      <c r="D21" s="9">
        <v>29.1</v>
      </c>
      <c r="E21" s="9">
        <v>28</v>
      </c>
      <c r="F21" s="9">
        <v>28.2</v>
      </c>
      <c r="G21" s="9">
        <v>29.7</v>
      </c>
      <c r="H21" s="9">
        <v>29</v>
      </c>
      <c r="I21" s="9">
        <v>27.6</v>
      </c>
      <c r="J21" s="9">
        <v>26.1</v>
      </c>
      <c r="K21" s="9">
        <f>HLOOKUP(Calculation!$D$3,$C$2:$F$45,A21,0)</f>
        <v>29.7</v>
      </c>
      <c r="L21" s="9">
        <f>HLOOKUP(Calculation!$D$3,$G$2:$J$45,A21,0)</f>
        <v>29.7</v>
      </c>
      <c r="M21" s="9">
        <f>K21*Calculation!D11</f>
        <v>0</v>
      </c>
      <c r="N21" s="9">
        <f>L21*Calculation!D11</f>
        <v>0</v>
      </c>
    </row>
    <row r="22" spans="1:14" s="4" customFormat="1" x14ac:dyDescent="0.15">
      <c r="A22" s="7">
        <v>21</v>
      </c>
      <c r="B22" s="7" t="s">
        <v>5</v>
      </c>
      <c r="C22" s="9">
        <v>13.3</v>
      </c>
      <c r="D22" s="9">
        <v>14</v>
      </c>
      <c r="E22" s="9">
        <v>13.9</v>
      </c>
      <c r="F22" s="9">
        <v>14</v>
      </c>
      <c r="G22" s="9">
        <v>12.2</v>
      </c>
      <c r="H22" s="9">
        <v>11.8</v>
      </c>
      <c r="I22" s="9">
        <v>12.1</v>
      </c>
      <c r="J22" s="9">
        <v>14.3</v>
      </c>
      <c r="K22" s="9">
        <f>HLOOKUP(Calculation!$D$3,$C$2:$F$45,A22,0)</f>
        <v>13.3</v>
      </c>
      <c r="L22" s="9">
        <f>HLOOKUP(Calculation!$D$3,$G$2:$J$45,A22,0)</f>
        <v>12.2</v>
      </c>
      <c r="M22" s="9">
        <f>K22*Calculation!D12</f>
        <v>0</v>
      </c>
      <c r="N22" s="9">
        <f>L22*Calculation!D12</f>
        <v>0</v>
      </c>
    </row>
    <row r="23" spans="1:14" s="4" customFormat="1" x14ac:dyDescent="0.15">
      <c r="A23" s="7">
        <v>22</v>
      </c>
      <c r="B23" s="7" t="s">
        <v>42</v>
      </c>
      <c r="C23" s="9">
        <v>24.1</v>
      </c>
      <c r="D23" s="9">
        <v>23.7</v>
      </c>
      <c r="E23" s="9">
        <v>24</v>
      </c>
      <c r="F23" s="9">
        <v>24</v>
      </c>
      <c r="G23" s="9">
        <v>23.61</v>
      </c>
      <c r="H23" s="9">
        <v>21.84</v>
      </c>
      <c r="I23" s="9">
        <v>22.2</v>
      </c>
      <c r="J23" s="9">
        <v>22.51</v>
      </c>
      <c r="K23" s="9">
        <f>HLOOKUP(Calculation!$D$3,$C$2:$F$45,A23,0)</f>
        <v>24.1</v>
      </c>
      <c r="L23" s="9">
        <f>HLOOKUP(Calculation!$D$3,$G$2:$J$45,A23,0)</f>
        <v>23.61</v>
      </c>
      <c r="M23" s="9">
        <f>K23*Calculation!D13</f>
        <v>0</v>
      </c>
      <c r="N23" s="9">
        <f>L23*Calculation!D13</f>
        <v>0</v>
      </c>
    </row>
    <row r="24" spans="1:14" x14ac:dyDescent="0.15">
      <c r="A24" s="7">
        <v>23</v>
      </c>
      <c r="B24" s="7" t="s">
        <v>44</v>
      </c>
      <c r="C24" s="9">
        <v>28.08</v>
      </c>
      <c r="D24" s="9">
        <v>27.9</v>
      </c>
      <c r="E24" s="9">
        <v>27.42</v>
      </c>
      <c r="F24" s="9">
        <v>27.45</v>
      </c>
      <c r="G24" s="9">
        <v>27.81</v>
      </c>
      <c r="H24" s="9">
        <v>27.47</v>
      </c>
      <c r="I24" s="9">
        <v>24.63</v>
      </c>
      <c r="J24" s="9">
        <v>24.65</v>
      </c>
      <c r="K24" s="9">
        <f>HLOOKUP(Calculation!$D$3,$C$2:$F$45,A24,0)</f>
        <v>28.08</v>
      </c>
      <c r="L24" s="9">
        <f>HLOOKUP(Calculation!$D$3,$G$2:$J$45,A24,0)</f>
        <v>27.81</v>
      </c>
      <c r="M24" s="9">
        <f>K24*Calculation!D14</f>
        <v>0</v>
      </c>
      <c r="N24" s="9">
        <f>L24*Calculation!D14</f>
        <v>0</v>
      </c>
    </row>
    <row r="25" spans="1:14" x14ac:dyDescent="0.15">
      <c r="A25" s="7">
        <v>24</v>
      </c>
      <c r="B25" s="7" t="s">
        <v>62</v>
      </c>
      <c r="C25" s="9">
        <v>28.6</v>
      </c>
      <c r="D25" s="9">
        <v>28.9</v>
      </c>
      <c r="E25" s="9">
        <v>27.8</v>
      </c>
      <c r="F25" s="9">
        <v>28.1</v>
      </c>
      <c r="G25" s="9">
        <v>27.2</v>
      </c>
      <c r="H25" s="9">
        <v>28.1</v>
      </c>
      <c r="I25" s="9">
        <v>21.7</v>
      </c>
      <c r="J25" s="9">
        <v>25.7</v>
      </c>
      <c r="K25" s="9">
        <f>HLOOKUP(Calculation!$D$3,$C$2:$F$45,A25,0)</f>
        <v>28.6</v>
      </c>
      <c r="L25" s="9">
        <f>HLOOKUP(Calculation!$D$3,$G$2:$J$45,A25,0)</f>
        <v>27.2</v>
      </c>
      <c r="M25" s="9">
        <f>K25*Calculation!D15</f>
        <v>0</v>
      </c>
      <c r="N25" s="9">
        <f>L25*Calculation!D15</f>
        <v>0</v>
      </c>
    </row>
    <row r="26" spans="1:14" x14ac:dyDescent="0.15">
      <c r="A26" s="7">
        <v>25</v>
      </c>
      <c r="B26" s="7" t="s">
        <v>63</v>
      </c>
      <c r="C26" s="9">
        <v>28.6</v>
      </c>
      <c r="D26" s="9">
        <v>28.9</v>
      </c>
      <c r="E26" s="9">
        <v>27.8</v>
      </c>
      <c r="F26" s="9">
        <v>28.1</v>
      </c>
      <c r="G26" s="9">
        <v>27.2</v>
      </c>
      <c r="H26" s="9">
        <v>28.1</v>
      </c>
      <c r="I26" s="9">
        <v>21.7</v>
      </c>
      <c r="J26" s="9">
        <v>25.7</v>
      </c>
      <c r="K26" s="9">
        <f>HLOOKUP(Calculation!$D$3,$C$2:$F$45,A26,0)</f>
        <v>28.6</v>
      </c>
      <c r="L26" s="9">
        <f>HLOOKUP(Calculation!$D$3,$G$2:$J$45,A26,0)</f>
        <v>27.2</v>
      </c>
      <c r="M26" s="9">
        <f>K26*Calculation!D16</f>
        <v>0</v>
      </c>
      <c r="N26" s="9">
        <f>L26*Calculation!D16</f>
        <v>0</v>
      </c>
    </row>
    <row r="27" spans="1:14" x14ac:dyDescent="0.15">
      <c r="A27" s="7">
        <v>26</v>
      </c>
      <c r="B27" s="7" t="s">
        <v>64</v>
      </c>
      <c r="C27" s="9">
        <v>12.7</v>
      </c>
      <c r="D27" s="9">
        <v>13.1</v>
      </c>
      <c r="E27" s="9">
        <v>12.8</v>
      </c>
      <c r="F27" s="9">
        <v>13.25</v>
      </c>
      <c r="G27" s="9">
        <v>12.22</v>
      </c>
      <c r="H27" s="9">
        <v>11.95</v>
      </c>
      <c r="I27" s="9">
        <v>11.62</v>
      </c>
      <c r="J27" s="9">
        <v>12.73</v>
      </c>
      <c r="K27" s="9">
        <f>HLOOKUP(Calculation!$D$3,$C$2:$F$45,A27,0)</f>
        <v>12.7</v>
      </c>
      <c r="L27" s="9">
        <f>HLOOKUP(Calculation!$D$3,$G$2:$J$45,A27,0)</f>
        <v>12.22</v>
      </c>
      <c r="M27" s="9">
        <f>K27*Calculation!D17</f>
        <v>0</v>
      </c>
      <c r="N27" s="9">
        <f>L27*Calculation!D17</f>
        <v>0</v>
      </c>
    </row>
    <row r="28" spans="1:14" x14ac:dyDescent="0.15">
      <c r="A28" s="7">
        <v>27</v>
      </c>
      <c r="B28" s="7" t="s">
        <v>65</v>
      </c>
      <c r="C28" s="9">
        <v>4.8</v>
      </c>
      <c r="D28" s="9">
        <v>5</v>
      </c>
      <c r="E28" s="9">
        <v>4.9000000000000004</v>
      </c>
      <c r="F28" s="9">
        <v>5</v>
      </c>
      <c r="G28" s="9">
        <v>4.95</v>
      </c>
      <c r="H28" s="9">
        <v>4.47</v>
      </c>
      <c r="I28" s="9">
        <v>4.72</v>
      </c>
      <c r="J28" s="9">
        <v>4.76</v>
      </c>
      <c r="K28" s="9">
        <f>HLOOKUP(Calculation!$D$3,$C$2:$F$45,A28,0)</f>
        <v>4.8</v>
      </c>
      <c r="L28" s="9">
        <f>HLOOKUP(Calculation!$D$3,$G$2:$J$45,A28,0)</f>
        <v>4.95</v>
      </c>
      <c r="M28" s="9">
        <f>K28*Calculation!D18</f>
        <v>0</v>
      </c>
      <c r="N28" s="9">
        <f>L28*Calculation!D18</f>
        <v>0</v>
      </c>
    </row>
    <row r="29" spans="1:14" x14ac:dyDescent="0.15">
      <c r="A29" s="7">
        <v>28</v>
      </c>
      <c r="B29" s="7" t="s">
        <v>40</v>
      </c>
      <c r="C29" s="9">
        <v>13.49</v>
      </c>
      <c r="D29" s="9">
        <v>13.41</v>
      </c>
      <c r="E29" s="9">
        <v>13.06</v>
      </c>
      <c r="F29" s="9">
        <v>13.67</v>
      </c>
      <c r="G29" s="9">
        <v>12.9</v>
      </c>
      <c r="H29" s="9">
        <v>13.02</v>
      </c>
      <c r="I29" s="9">
        <v>11.36</v>
      </c>
      <c r="J29" s="9">
        <v>15.13</v>
      </c>
      <c r="K29" s="9">
        <f>HLOOKUP(Calculation!$D$3,$C$2:$F$45,A29,0)</f>
        <v>13.49</v>
      </c>
      <c r="L29" s="9">
        <f>HLOOKUP(Calculation!$D$3,$G$2:$J$45,A29,0)</f>
        <v>12.9</v>
      </c>
      <c r="M29" s="9">
        <f>K29*Calculation!D19</f>
        <v>0</v>
      </c>
      <c r="N29" s="9">
        <f>L29*Calculation!D19</f>
        <v>0</v>
      </c>
    </row>
    <row r="30" spans="1:14" x14ac:dyDescent="0.15">
      <c r="A30" s="7">
        <v>29</v>
      </c>
      <c r="B30" s="7" t="s">
        <v>10</v>
      </c>
      <c r="C30" s="9">
        <v>4.4000000000000004</v>
      </c>
      <c r="D30" s="9">
        <v>4.63</v>
      </c>
      <c r="E30" s="9">
        <v>4.63</v>
      </c>
      <c r="F30" s="9">
        <v>4.63</v>
      </c>
      <c r="G30" s="9">
        <v>4.07</v>
      </c>
      <c r="H30" s="9">
        <v>3.93</v>
      </c>
      <c r="I30" s="9">
        <v>4</v>
      </c>
      <c r="J30" s="9">
        <v>4.8</v>
      </c>
      <c r="K30" s="9">
        <f>HLOOKUP(Calculation!$D$3,$C$2:$F$45,A30,0)</f>
        <v>4.4000000000000004</v>
      </c>
      <c r="L30" s="9">
        <f>HLOOKUP(Calculation!$D$3,$G$2:$J$45,A30,0)</f>
        <v>4.07</v>
      </c>
      <c r="M30" s="9">
        <f>K30*Calculation!D20</f>
        <v>0</v>
      </c>
      <c r="N30" s="9">
        <f>L30*Calculation!D20</f>
        <v>0</v>
      </c>
    </row>
    <row r="31" spans="1:14" x14ac:dyDescent="0.15">
      <c r="A31" s="7">
        <v>30</v>
      </c>
      <c r="B31" s="7" t="s">
        <v>11</v>
      </c>
      <c r="C31" s="9">
        <v>2.4500000000000002</v>
      </c>
      <c r="D31" s="9">
        <v>2.2999999999999998</v>
      </c>
      <c r="E31" s="9">
        <v>2.5</v>
      </c>
      <c r="F31" s="9">
        <v>2.6</v>
      </c>
      <c r="G31" s="9">
        <v>2.25</v>
      </c>
      <c r="H31" s="9">
        <v>1.95</v>
      </c>
      <c r="I31" s="9">
        <v>2</v>
      </c>
      <c r="J31" s="9">
        <v>2.9</v>
      </c>
      <c r="K31" s="9">
        <f>HLOOKUP(Calculation!$D$3,$C$2:$F$45,A31,0)</f>
        <v>2.4500000000000002</v>
      </c>
      <c r="L31" s="9">
        <f>HLOOKUP(Calculation!$D$3,$G$2:$J$45,A31,0)</f>
        <v>2.25</v>
      </c>
      <c r="M31" s="9">
        <f>K31*Calculation!D21</f>
        <v>0</v>
      </c>
      <c r="N31" s="9">
        <f>L31*Calculation!D21</f>
        <v>0</v>
      </c>
    </row>
    <row r="32" spans="1:14" x14ac:dyDescent="0.15">
      <c r="A32" s="7">
        <v>31</v>
      </c>
      <c r="B32" s="7" t="s">
        <v>29</v>
      </c>
      <c r="C32" s="9">
        <v>3.7</v>
      </c>
      <c r="D32" s="9">
        <v>3.5</v>
      </c>
      <c r="E32" s="9">
        <v>3.5</v>
      </c>
      <c r="F32" s="9">
        <v>3.2</v>
      </c>
      <c r="G32" s="9">
        <v>3.5</v>
      </c>
      <c r="H32" s="9">
        <v>2.7</v>
      </c>
      <c r="I32" s="9">
        <v>2.7</v>
      </c>
      <c r="J32" s="9">
        <v>3.9</v>
      </c>
      <c r="K32" s="9">
        <f>HLOOKUP(Calculation!$D$3,$C$2:$F$45,A32,0)</f>
        <v>3.7</v>
      </c>
      <c r="L32" s="9">
        <f>HLOOKUP(Calculation!$D$3,$G$2:$J$45,A32,0)</f>
        <v>3.5</v>
      </c>
      <c r="M32" s="9">
        <f>K32*Calculation!D22</f>
        <v>0</v>
      </c>
      <c r="N32" s="9">
        <f>L32*Calculation!D22</f>
        <v>0</v>
      </c>
    </row>
    <row r="33" spans="1:14" x14ac:dyDescent="0.15">
      <c r="A33" s="7">
        <v>32</v>
      </c>
      <c r="B33" s="7" t="s">
        <v>13</v>
      </c>
      <c r="C33" s="9">
        <v>2.6</v>
      </c>
      <c r="D33" s="9">
        <v>2.7</v>
      </c>
      <c r="E33" s="9">
        <v>2.7</v>
      </c>
      <c r="F33" s="9">
        <v>2.65</v>
      </c>
      <c r="G33" s="9">
        <v>2.4</v>
      </c>
      <c r="H33" s="9">
        <v>2.2999999999999998</v>
      </c>
      <c r="I33" s="9">
        <v>2.0499999999999998</v>
      </c>
      <c r="J33" s="9">
        <v>3.4</v>
      </c>
      <c r="K33" s="9">
        <f>HLOOKUP(Calculation!$D$3,$C$2:$F$45,A33,0)</f>
        <v>2.6</v>
      </c>
      <c r="L33" s="9">
        <f>HLOOKUP(Calculation!$D$3,$G$2:$J$45,A33,0)</f>
        <v>2.4</v>
      </c>
      <c r="M33" s="9">
        <f>K33*Calculation!D23</f>
        <v>0</v>
      </c>
      <c r="N33" s="9">
        <f>L33*Calculation!D23</f>
        <v>0</v>
      </c>
    </row>
    <row r="34" spans="1:14" x14ac:dyDescent="0.15">
      <c r="A34" s="7">
        <v>33</v>
      </c>
      <c r="B34" s="7" t="s">
        <v>30</v>
      </c>
      <c r="C34" s="9">
        <v>3.6</v>
      </c>
      <c r="D34" s="9">
        <v>3.4</v>
      </c>
      <c r="E34" s="9">
        <v>3.4</v>
      </c>
      <c r="F34" s="9">
        <v>3.5</v>
      </c>
      <c r="G34" s="9">
        <v>3.3</v>
      </c>
      <c r="H34" s="9">
        <v>3</v>
      </c>
      <c r="I34" s="9">
        <v>2.4</v>
      </c>
      <c r="J34" s="9">
        <v>3.9</v>
      </c>
      <c r="K34" s="9">
        <f>HLOOKUP(Calculation!$D$3,$C$2:$F$45,A34,0)</f>
        <v>3.6</v>
      </c>
      <c r="L34" s="9">
        <f>HLOOKUP(Calculation!$D$3,$G$2:$J$45,A34,0)</f>
        <v>3.3</v>
      </c>
      <c r="M34" s="9">
        <f>K34*Calculation!D24</f>
        <v>0</v>
      </c>
      <c r="N34" s="9">
        <f>L34*Calculation!D24</f>
        <v>0</v>
      </c>
    </row>
    <row r="35" spans="1:14" x14ac:dyDescent="0.15">
      <c r="A35" s="7">
        <v>34</v>
      </c>
      <c r="B35" s="7" t="s">
        <v>45</v>
      </c>
      <c r="C35" s="9">
        <v>20.9</v>
      </c>
      <c r="D35" s="9">
        <v>20.3</v>
      </c>
      <c r="E35" s="9">
        <v>20.6</v>
      </c>
      <c r="F35" s="9">
        <v>20.5</v>
      </c>
      <c r="G35" s="9">
        <v>20.3</v>
      </c>
      <c r="H35" s="9">
        <v>18.72</v>
      </c>
      <c r="I35" s="9">
        <v>18.920000000000002</v>
      </c>
      <c r="J35" s="9">
        <v>19.68</v>
      </c>
      <c r="K35" s="9">
        <f>HLOOKUP(Calculation!$D$3,$C$2:$F$45,A35,0)</f>
        <v>20.9</v>
      </c>
      <c r="L35" s="9">
        <f>HLOOKUP(Calculation!$D$3,$G$2:$J$45,A35,0)</f>
        <v>20.3</v>
      </c>
      <c r="M35" s="9">
        <f>K35*Calculation!D25</f>
        <v>0</v>
      </c>
      <c r="N35" s="9">
        <f>L35*Calculation!D25</f>
        <v>0</v>
      </c>
    </row>
    <row r="36" spans="1:14" x14ac:dyDescent="0.15">
      <c r="A36" s="7">
        <v>35</v>
      </c>
      <c r="B36" s="7" t="s">
        <v>51</v>
      </c>
      <c r="C36" s="9">
        <v>12.38</v>
      </c>
      <c r="D36" s="9">
        <v>11.56</v>
      </c>
      <c r="E36" s="9">
        <v>11.81</v>
      </c>
      <c r="F36" s="9">
        <v>12.24</v>
      </c>
      <c r="G36" s="9">
        <v>11.92</v>
      </c>
      <c r="H36" s="9">
        <v>11.06</v>
      </c>
      <c r="I36" s="9">
        <v>10.65</v>
      </c>
      <c r="J36" s="9">
        <v>11.81</v>
      </c>
      <c r="K36" s="9">
        <f>HLOOKUP(Calculation!$D$3,$C$2:$F$45,A36,0)</f>
        <v>12.38</v>
      </c>
      <c r="L36" s="9">
        <f>HLOOKUP(Calculation!$D$3,$G$2:$J$45,A36,0)</f>
        <v>11.92</v>
      </c>
      <c r="M36" s="9">
        <f>K36*Calculation!D26</f>
        <v>0</v>
      </c>
      <c r="N36" s="9">
        <f>L36*Calculation!D26</f>
        <v>0</v>
      </c>
    </row>
    <row r="37" spans="1:14" s="4" customFormat="1" x14ac:dyDescent="0.15">
      <c r="A37" s="7">
        <v>36</v>
      </c>
      <c r="B37" s="7" t="s">
        <v>46</v>
      </c>
      <c r="C37" s="9">
        <v>26.94</v>
      </c>
      <c r="D37" s="9">
        <v>27.4</v>
      </c>
      <c r="E37" s="9">
        <v>26.36</v>
      </c>
      <c r="F37" s="9">
        <v>26.83</v>
      </c>
      <c r="G37" s="9">
        <v>25.94</v>
      </c>
      <c r="H37" s="9">
        <v>26.52</v>
      </c>
      <c r="I37" s="9">
        <v>21.41</v>
      </c>
      <c r="J37" s="9">
        <v>23.76</v>
      </c>
      <c r="K37" s="9">
        <f>HLOOKUP(Calculation!$D$3,$C$2:$F$45,A37,0)</f>
        <v>26.94</v>
      </c>
      <c r="L37" s="9">
        <f>HLOOKUP(Calculation!$D$3,$G$2:$J$45,A37,0)</f>
        <v>25.94</v>
      </c>
      <c r="M37" s="9">
        <f>K37*Calculation!D27</f>
        <v>0</v>
      </c>
      <c r="N37" s="9">
        <f>L37*Calculation!D27</f>
        <v>0</v>
      </c>
    </row>
    <row r="38" spans="1:14" s="4" customFormat="1" x14ac:dyDescent="0.15">
      <c r="A38" s="7">
        <v>37</v>
      </c>
      <c r="B38" s="7" t="s">
        <v>47</v>
      </c>
      <c r="C38" s="9">
        <v>26.1</v>
      </c>
      <c r="D38" s="9">
        <v>26</v>
      </c>
      <c r="E38" s="9">
        <v>25.9</v>
      </c>
      <c r="F38" s="9">
        <v>26</v>
      </c>
      <c r="G38" s="9">
        <v>26.2</v>
      </c>
      <c r="H38" s="9">
        <v>26</v>
      </c>
      <c r="I38" s="9">
        <v>22.6</v>
      </c>
      <c r="J38" s="9">
        <v>22.6</v>
      </c>
      <c r="K38" s="9">
        <f>HLOOKUP(Calculation!$D$3,$C$2:$F$45,A38,0)</f>
        <v>26.1</v>
      </c>
      <c r="L38" s="9">
        <f>HLOOKUP(Calculation!$D$3,$G$2:$J$45,A38,0)</f>
        <v>26.2</v>
      </c>
      <c r="M38" s="9">
        <f>K38*Calculation!D28</f>
        <v>0</v>
      </c>
      <c r="N38" s="9">
        <f>L38*Calculation!D28</f>
        <v>0</v>
      </c>
    </row>
    <row r="39" spans="1:14" s="4" customFormat="1" x14ac:dyDescent="0.15">
      <c r="A39" s="7">
        <v>38</v>
      </c>
      <c r="B39" s="7" t="s">
        <v>15</v>
      </c>
      <c r="C39" s="9">
        <v>11.9</v>
      </c>
      <c r="D39" s="9">
        <v>12.5</v>
      </c>
      <c r="E39" s="9">
        <v>12.5</v>
      </c>
      <c r="F39" s="9">
        <v>12.6</v>
      </c>
      <c r="G39" s="9">
        <v>10.9</v>
      </c>
      <c r="H39" s="9">
        <v>10.8</v>
      </c>
      <c r="I39" s="9">
        <v>10.8</v>
      </c>
      <c r="J39" s="9">
        <v>13.6</v>
      </c>
      <c r="K39" s="9">
        <f>HLOOKUP(Calculation!$D$3,$C$2:$F$45,A39,0)</f>
        <v>11.9</v>
      </c>
      <c r="L39" s="9">
        <f>HLOOKUP(Calculation!$D$3,$G$2:$J$45,A39,0)</f>
        <v>10.9</v>
      </c>
      <c r="M39" s="9">
        <f>K39*Calculation!D29</f>
        <v>0</v>
      </c>
      <c r="N39" s="9">
        <f>L39*Calculation!D29</f>
        <v>0</v>
      </c>
    </row>
    <row r="40" spans="1:14" s="4" customFormat="1" x14ac:dyDescent="0.15">
      <c r="A40" s="7">
        <v>39</v>
      </c>
      <c r="B40" s="7" t="s">
        <v>16</v>
      </c>
      <c r="C40" s="9">
        <v>11.8</v>
      </c>
      <c r="D40" s="9">
        <v>12.4</v>
      </c>
      <c r="E40" s="9">
        <v>12.4</v>
      </c>
      <c r="F40" s="9">
        <v>12.5</v>
      </c>
      <c r="G40" s="9">
        <v>10.8</v>
      </c>
      <c r="H40" s="9">
        <v>10.5</v>
      </c>
      <c r="I40" s="9">
        <v>10</v>
      </c>
      <c r="J40" s="9">
        <v>13.2</v>
      </c>
      <c r="K40" s="9">
        <f>HLOOKUP(Calculation!$D$3,$C$2:$F$45,A40,0)</f>
        <v>11.8</v>
      </c>
      <c r="L40" s="9">
        <f>HLOOKUP(Calculation!$D$3,$G$2:$J$45,A40,0)</f>
        <v>10.8</v>
      </c>
      <c r="M40" s="9">
        <f>K40*Calculation!D30</f>
        <v>0</v>
      </c>
      <c r="N40" s="9">
        <f>L40*Calculation!D30</f>
        <v>0</v>
      </c>
    </row>
    <row r="41" spans="1:14" s="4" customFormat="1" x14ac:dyDescent="0.15">
      <c r="A41" s="7">
        <v>40</v>
      </c>
      <c r="B41" s="11" t="s">
        <v>17</v>
      </c>
      <c r="C41" s="12">
        <v>5.5</v>
      </c>
      <c r="D41" s="12">
        <v>5.7</v>
      </c>
      <c r="E41" s="12">
        <v>5.75</v>
      </c>
      <c r="F41" s="12">
        <v>5.8</v>
      </c>
      <c r="G41" s="12">
        <v>5.18</v>
      </c>
      <c r="H41" s="12">
        <v>4.8499999999999996</v>
      </c>
      <c r="I41" s="12">
        <v>5.0999999999999996</v>
      </c>
      <c r="J41" s="12">
        <v>5.68</v>
      </c>
      <c r="K41" s="9">
        <f>HLOOKUP(Calculation!$D$3,$C$2:$F$45,A41,0)</f>
        <v>5.5</v>
      </c>
      <c r="L41" s="9">
        <f>HLOOKUP(Calculation!$D$3,$G$2:$J$45,A41,0)</f>
        <v>5.18</v>
      </c>
      <c r="M41" s="9">
        <f>K41*Calculation!D31</f>
        <v>0</v>
      </c>
      <c r="N41" s="9">
        <f>L41*Calculation!D31</f>
        <v>0</v>
      </c>
    </row>
    <row r="42" spans="1:14" s="4" customFormat="1" x14ac:dyDescent="0.15">
      <c r="A42" s="7">
        <v>41</v>
      </c>
      <c r="B42" s="11" t="s">
        <v>18</v>
      </c>
      <c r="C42" s="12">
        <v>6.8</v>
      </c>
      <c r="D42" s="12">
        <v>6.2</v>
      </c>
      <c r="E42" s="12">
        <v>6.8</v>
      </c>
      <c r="F42" s="12">
        <v>6.9</v>
      </c>
      <c r="G42" s="12">
        <v>6.64</v>
      </c>
      <c r="H42" s="12">
        <v>5.28</v>
      </c>
      <c r="I42" s="12">
        <v>7.7</v>
      </c>
      <c r="J42" s="12">
        <v>6.96</v>
      </c>
      <c r="K42" s="9">
        <f>HLOOKUP(Calculation!$D$3,$C$2:$F$45,A42,0)</f>
        <v>6.8</v>
      </c>
      <c r="L42" s="9">
        <f>HLOOKUP(Calculation!$D$3,$G$2:$J$45,A42,0)</f>
        <v>6.64</v>
      </c>
      <c r="M42" s="9">
        <f>K42*Calculation!D32</f>
        <v>0</v>
      </c>
      <c r="N42" s="9">
        <f>L42*Calculation!D32</f>
        <v>0</v>
      </c>
    </row>
    <row r="43" spans="1:14" s="4" customFormat="1" x14ac:dyDescent="0.15">
      <c r="A43" s="7">
        <v>42</v>
      </c>
      <c r="B43" s="11" t="s">
        <v>48</v>
      </c>
      <c r="C43" s="12">
        <v>11.07</v>
      </c>
      <c r="D43" s="12">
        <v>10.74</v>
      </c>
      <c r="E43" s="12">
        <v>10.61</v>
      </c>
      <c r="F43" s="12">
        <v>11.03</v>
      </c>
      <c r="G43" s="12">
        <v>10.58</v>
      </c>
      <c r="H43" s="12">
        <v>10.48</v>
      </c>
      <c r="I43" s="12">
        <v>9.1300000000000008</v>
      </c>
      <c r="J43" s="12">
        <v>10.78</v>
      </c>
      <c r="K43" s="9">
        <f>HLOOKUP(Calculation!$D$3,$C$2:$F$45,A43,0)</f>
        <v>11.07</v>
      </c>
      <c r="L43" s="9">
        <f>HLOOKUP(Calculation!$D$3,$G$2:$J$45,A43,0)</f>
        <v>10.58</v>
      </c>
      <c r="M43" s="9">
        <f>K43*Calculation!D33</f>
        <v>0</v>
      </c>
      <c r="N43" s="9">
        <f>L43*Calculation!D33</f>
        <v>0</v>
      </c>
    </row>
    <row r="44" spans="1:14" s="4" customFormat="1" x14ac:dyDescent="0.15">
      <c r="A44" s="7">
        <v>43</v>
      </c>
      <c r="B44" s="11" t="s">
        <v>19</v>
      </c>
      <c r="C44" s="12">
        <v>7.15</v>
      </c>
      <c r="D44" s="12">
        <v>7.5</v>
      </c>
      <c r="E44" s="12">
        <v>7.2</v>
      </c>
      <c r="F44" s="12">
        <v>7</v>
      </c>
      <c r="G44" s="12">
        <v>6.45</v>
      </c>
      <c r="H44" s="12">
        <v>6.15</v>
      </c>
      <c r="I44" s="12">
        <v>6.4</v>
      </c>
      <c r="J44" s="12">
        <v>7.85</v>
      </c>
      <c r="K44" s="9">
        <f>HLOOKUP(Calculation!$D$3,$C$2:$F$45,A44,0)</f>
        <v>7.15</v>
      </c>
      <c r="L44" s="9">
        <f>HLOOKUP(Calculation!$D$3,$G$2:$J$45,A44,0)</f>
        <v>6.45</v>
      </c>
      <c r="M44" s="9">
        <f>K44*Calculation!D34</f>
        <v>0</v>
      </c>
      <c r="N44" s="9">
        <f>L44*Calculation!D34</f>
        <v>0</v>
      </c>
    </row>
    <row r="45" spans="1:14" s="4" customFormat="1" x14ac:dyDescent="0.15">
      <c r="A45" s="7">
        <v>44</v>
      </c>
      <c r="B45" s="7" t="s">
        <v>31</v>
      </c>
      <c r="C45" s="9">
        <v>9.4</v>
      </c>
      <c r="D45" s="9">
        <v>10</v>
      </c>
      <c r="E45" s="9">
        <v>9.9</v>
      </c>
      <c r="F45" s="9">
        <v>10</v>
      </c>
      <c r="G45" s="9">
        <v>8.6</v>
      </c>
      <c r="H45" s="9">
        <v>8.4</v>
      </c>
      <c r="I45" s="9">
        <v>8.1</v>
      </c>
      <c r="J45" s="9">
        <v>10.9</v>
      </c>
      <c r="K45" s="9">
        <f>HLOOKUP(Calculation!$D$3,$C$2:$F$45,A45,0)</f>
        <v>9.4</v>
      </c>
      <c r="L45" s="9">
        <f>HLOOKUP(Calculation!$D$3,$G$2:$J$45,A45,0)</f>
        <v>8.6</v>
      </c>
      <c r="M45" s="9">
        <f>K45*Calculation!D35</f>
        <v>0</v>
      </c>
      <c r="N45" s="9">
        <f>L45*Calculation!D35</f>
        <v>0</v>
      </c>
    </row>
    <row r="46" spans="1:14" s="4" customFormat="1" x14ac:dyDescent="0.15">
      <c r="A46" s="13"/>
      <c r="B46" s="125" t="s">
        <v>60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7"/>
      <c r="M46" s="14">
        <f>SUM(M3:M45)</f>
        <v>54.6</v>
      </c>
      <c r="N46" s="9">
        <f>SUM(N3:N45)</f>
        <v>60.2</v>
      </c>
    </row>
    <row r="47" spans="1:14" s="4" customForma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4" customFormat="1" x14ac:dyDescent="0.15">
      <c r="A48" s="13"/>
      <c r="B48" s="7"/>
      <c r="C48" s="122" t="s">
        <v>66</v>
      </c>
      <c r="D48" s="123"/>
      <c r="E48" s="123"/>
      <c r="F48" s="123"/>
      <c r="G48" s="123"/>
      <c r="H48" s="123"/>
      <c r="I48" s="124"/>
      <c r="J48" s="122" t="s">
        <v>67</v>
      </c>
      <c r="K48" s="124"/>
      <c r="N48" s="13"/>
    </row>
    <row r="49" spans="1:14" s="4" customFormat="1" x14ac:dyDescent="0.15">
      <c r="A49" s="15">
        <v>1</v>
      </c>
      <c r="B49" s="7"/>
      <c r="C49" s="8" t="s">
        <v>68</v>
      </c>
      <c r="D49" s="8" t="str">
        <f>C87</f>
        <v>USF-212BS</v>
      </c>
      <c r="E49" s="16" t="str">
        <f>C88</f>
        <v>USF-212AS</v>
      </c>
      <c r="F49" s="16" t="str">
        <f>C89</f>
        <v>USF-212S</v>
      </c>
      <c r="G49" s="8" t="str">
        <f>C90</f>
        <v>USF-212</v>
      </c>
      <c r="H49" s="8" t="str">
        <f>C91</f>
        <v>USF-105AS</v>
      </c>
      <c r="I49" s="8" t="str">
        <f>C92</f>
        <v>USF-105S</v>
      </c>
      <c r="J49" s="8" t="s">
        <v>68</v>
      </c>
      <c r="K49" s="8" t="s">
        <v>69</v>
      </c>
      <c r="L49" s="8" t="s">
        <v>70</v>
      </c>
      <c r="M49" s="13"/>
      <c r="N49" s="13"/>
    </row>
    <row r="50" spans="1:14" s="4" customFormat="1" x14ac:dyDescent="0.15">
      <c r="A50" s="15">
        <v>2</v>
      </c>
      <c r="B50" s="7" t="s">
        <v>32</v>
      </c>
      <c r="C50" s="8"/>
      <c r="D50" s="8">
        <v>12</v>
      </c>
      <c r="E50" s="16">
        <v>12</v>
      </c>
      <c r="F50" s="16">
        <v>12</v>
      </c>
      <c r="G50" s="16">
        <v>12</v>
      </c>
      <c r="H50" s="16">
        <v>5</v>
      </c>
      <c r="I50" s="29">
        <v>5</v>
      </c>
      <c r="J50" s="17">
        <f>HLOOKUP(Calculation!D4,D49:I50,2,0)</f>
        <v>12</v>
      </c>
      <c r="K50" s="17"/>
      <c r="L50" s="8"/>
      <c r="M50" s="13"/>
      <c r="N50" s="13"/>
    </row>
    <row r="51" spans="1:14" s="4" customFormat="1" x14ac:dyDescent="0.15">
      <c r="A51" s="15">
        <v>3</v>
      </c>
      <c r="B51" s="25" t="s">
        <v>102</v>
      </c>
      <c r="C51" s="18">
        <v>2</v>
      </c>
      <c r="D51" s="31" t="b">
        <f>TRUE()</f>
        <v>1</v>
      </c>
      <c r="E51" s="31" t="b">
        <f>FALSE()</f>
        <v>0</v>
      </c>
      <c r="F51" s="31" t="b">
        <f>FALSE()</f>
        <v>0</v>
      </c>
      <c r="G51" s="31" t="b">
        <f>FALSE()</f>
        <v>0</v>
      </c>
      <c r="H51" s="31" t="b">
        <f>FALSE()</f>
        <v>0</v>
      </c>
      <c r="I51" s="31" t="b">
        <f>FALSE()</f>
        <v>0</v>
      </c>
      <c r="J51" s="7">
        <f>Calculation!D6*C51</f>
        <v>0</v>
      </c>
      <c r="K51" s="19">
        <f>IF(HLOOKUP(Calculation!$D$4,$D$49:$I$81,A51,0),1,0)</f>
        <v>1</v>
      </c>
      <c r="L51" s="7">
        <f>IF(J51 = 0,1,K51)</f>
        <v>1</v>
      </c>
      <c r="M51" s="13"/>
      <c r="N51" s="13"/>
    </row>
    <row r="52" spans="1:14" s="4" customFormat="1" x14ac:dyDescent="0.15">
      <c r="A52" s="15">
        <v>4</v>
      </c>
      <c r="B52" s="25" t="s">
        <v>103</v>
      </c>
      <c r="C52" s="18">
        <v>3</v>
      </c>
      <c r="D52" s="31" t="b">
        <f>TRUE()</f>
        <v>1</v>
      </c>
      <c r="E52" s="31" t="b">
        <f>FALSE()</f>
        <v>0</v>
      </c>
      <c r="F52" s="31" t="b">
        <f>FALSE()</f>
        <v>0</v>
      </c>
      <c r="G52" s="31" t="b">
        <f>FALSE()</f>
        <v>0</v>
      </c>
      <c r="H52" s="31" t="b">
        <f>FALSE()</f>
        <v>0</v>
      </c>
      <c r="I52" s="31" t="b">
        <f>FALSE()</f>
        <v>0</v>
      </c>
      <c r="J52" s="7">
        <f>Calculation!D7*C52</f>
        <v>0</v>
      </c>
      <c r="K52" s="19">
        <f>IF(HLOOKUP(Calculation!$D$4,$D$49:$I$81,A52,0),1,0)</f>
        <v>1</v>
      </c>
      <c r="L52" s="7">
        <f t="shared" ref="L52:L55" si="0">IF(J52 = 0,1,K52)</f>
        <v>1</v>
      </c>
      <c r="M52" s="13"/>
      <c r="N52" s="13"/>
    </row>
    <row r="53" spans="1:14" s="4" customFormat="1" x14ac:dyDescent="0.15">
      <c r="A53" s="15">
        <v>5</v>
      </c>
      <c r="B53" s="25" t="s">
        <v>104</v>
      </c>
      <c r="C53" s="18">
        <v>2</v>
      </c>
      <c r="D53" s="31" t="b">
        <f>TRUE()</f>
        <v>1</v>
      </c>
      <c r="E53" s="31" t="b">
        <f>TRUE()</f>
        <v>1</v>
      </c>
      <c r="F53" s="31" t="b">
        <f>FALSE()</f>
        <v>0</v>
      </c>
      <c r="G53" s="31" t="b">
        <f>FALSE()</f>
        <v>0</v>
      </c>
      <c r="H53" s="31" t="b">
        <f>FALSE()</f>
        <v>0</v>
      </c>
      <c r="I53" s="31" t="b">
        <f>FALSE()</f>
        <v>0</v>
      </c>
      <c r="J53" s="7">
        <f>Calculation!D8*C53</f>
        <v>0</v>
      </c>
      <c r="K53" s="19">
        <f>IF(HLOOKUP(Calculation!$D$4,$D$49:$I$81,A53,0),1,0)</f>
        <v>1</v>
      </c>
      <c r="L53" s="7">
        <f t="shared" si="0"/>
        <v>1</v>
      </c>
      <c r="M53" s="13"/>
      <c r="N53" s="13"/>
    </row>
    <row r="54" spans="1:14" s="4" customFormat="1" x14ac:dyDescent="0.15">
      <c r="A54" s="15">
        <v>6</v>
      </c>
      <c r="B54" s="25" t="s">
        <v>105</v>
      </c>
      <c r="C54" s="18">
        <v>3</v>
      </c>
      <c r="D54" s="31" t="b">
        <f>TRUE()</f>
        <v>1</v>
      </c>
      <c r="E54" s="31" t="b">
        <f>TRUE()</f>
        <v>1</v>
      </c>
      <c r="F54" s="31" t="b">
        <f>FALSE()</f>
        <v>0</v>
      </c>
      <c r="G54" s="31" t="b">
        <f>FALSE()</f>
        <v>0</v>
      </c>
      <c r="H54" s="31" t="b">
        <f>FALSE()</f>
        <v>0</v>
      </c>
      <c r="I54" s="31" t="b">
        <f>FALSE()</f>
        <v>0</v>
      </c>
      <c r="J54" s="7">
        <f>Calculation!D9*C54</f>
        <v>0</v>
      </c>
      <c r="K54" s="19">
        <f>IF(HLOOKUP(Calculation!$D$4,$D$49:$I$81,A54,0),1,0)</f>
        <v>1</v>
      </c>
      <c r="L54" s="7">
        <f t="shared" si="0"/>
        <v>1</v>
      </c>
      <c r="M54" s="13"/>
      <c r="N54" s="13"/>
    </row>
    <row r="55" spans="1:14" s="4" customFormat="1" x14ac:dyDescent="0.15">
      <c r="A55" s="15">
        <v>7</v>
      </c>
      <c r="B55" s="25" t="s">
        <v>106</v>
      </c>
      <c r="C55" s="18">
        <v>1</v>
      </c>
      <c r="D55" s="31" t="b">
        <f>TRUE()</f>
        <v>1</v>
      </c>
      <c r="E55" s="31" t="b">
        <f>TRUE()</f>
        <v>1</v>
      </c>
      <c r="F55" s="31" t="b">
        <f>TRUE()</f>
        <v>1</v>
      </c>
      <c r="G55" s="31" t="b">
        <f>TRUE()</f>
        <v>1</v>
      </c>
      <c r="H55" s="31" t="b">
        <f>TRUE()</f>
        <v>1</v>
      </c>
      <c r="I55" s="31" t="b">
        <f>TRUE()</f>
        <v>1</v>
      </c>
      <c r="J55" s="7">
        <f>Calculation!D10*C55</f>
        <v>0</v>
      </c>
      <c r="K55" s="19">
        <f>IF(HLOOKUP(Calculation!$D$4,$D$49:$I$81,A55,0),1,0)</f>
        <v>1</v>
      </c>
      <c r="L55" s="7">
        <f t="shared" si="0"/>
        <v>1</v>
      </c>
      <c r="M55" s="13"/>
      <c r="N55" s="13"/>
    </row>
    <row r="56" spans="1:14" s="4" customFormat="1" x14ac:dyDescent="0.15">
      <c r="A56" s="15">
        <v>8</v>
      </c>
      <c r="B56" s="7" t="s">
        <v>41</v>
      </c>
      <c r="C56" s="18">
        <v>1</v>
      </c>
      <c r="D56" s="16" t="b">
        <f>TRUE()</f>
        <v>1</v>
      </c>
      <c r="E56" s="31" t="b">
        <f>TRUE()</f>
        <v>1</v>
      </c>
      <c r="F56" s="29" t="b">
        <f>FALSE()</f>
        <v>0</v>
      </c>
      <c r="G56" s="29" t="b">
        <f>FALSE()</f>
        <v>0</v>
      </c>
      <c r="H56" s="29" t="b">
        <f>TRUE()</f>
        <v>1</v>
      </c>
      <c r="I56" s="29" t="b">
        <f>FALSE()</f>
        <v>0</v>
      </c>
      <c r="J56" s="7">
        <f>Calculation!D11*C56</f>
        <v>0</v>
      </c>
      <c r="K56" s="19">
        <f>IF(HLOOKUP(Calculation!$D$4,$D$49:$I$81,A56,0),1,0)</f>
        <v>1</v>
      </c>
      <c r="L56" s="7">
        <f>IF(J56 = 0,1,K56)</f>
        <v>1</v>
      </c>
      <c r="M56" s="13"/>
      <c r="N56" s="13"/>
    </row>
    <row r="57" spans="1:14" s="4" customFormat="1" x14ac:dyDescent="0.15">
      <c r="A57" s="15">
        <v>9</v>
      </c>
      <c r="B57" s="7" t="s">
        <v>5</v>
      </c>
      <c r="C57" s="20">
        <v>1</v>
      </c>
      <c r="D57" s="16" t="b">
        <f>TRUE()</f>
        <v>1</v>
      </c>
      <c r="E57" s="31" t="b">
        <f>TRUE()</f>
        <v>1</v>
      </c>
      <c r="F57" s="21" t="b">
        <f>TRUE()</f>
        <v>1</v>
      </c>
      <c r="G57" s="20" t="b">
        <f>FALSE()</f>
        <v>0</v>
      </c>
      <c r="H57" s="29" t="b">
        <f>TRUE()</f>
        <v>1</v>
      </c>
      <c r="I57" s="21" t="b">
        <f>TRUE()</f>
        <v>1</v>
      </c>
      <c r="J57" s="7">
        <f>Calculation!D12*C57</f>
        <v>0</v>
      </c>
      <c r="K57" s="19">
        <f>IF(HLOOKUP(Calculation!$D$4,$D$49:$I$81,A57,0),1,0)</f>
        <v>1</v>
      </c>
      <c r="L57" s="7">
        <f>IF(J57 = 0,1,K57)</f>
        <v>1</v>
      </c>
      <c r="M57" s="13"/>
      <c r="N57" s="13"/>
    </row>
    <row r="58" spans="1:14" s="4" customFormat="1" x14ac:dyDescent="0.15">
      <c r="A58" s="15">
        <v>10</v>
      </c>
      <c r="B58" s="7" t="s">
        <v>42</v>
      </c>
      <c r="C58" s="20">
        <v>2</v>
      </c>
      <c r="D58" s="16" t="b">
        <f>TRUE()</f>
        <v>1</v>
      </c>
      <c r="E58" s="31" t="b">
        <f>TRUE()</f>
        <v>1</v>
      </c>
      <c r="F58" s="21" t="b">
        <f>TRUE()</f>
        <v>1</v>
      </c>
      <c r="G58" s="20" t="b">
        <f>FALSE()</f>
        <v>0</v>
      </c>
      <c r="H58" s="29" t="b">
        <f>TRUE()</f>
        <v>1</v>
      </c>
      <c r="I58" s="21" t="b">
        <f>TRUE()</f>
        <v>1</v>
      </c>
      <c r="J58" s="7">
        <f>Calculation!D13*C58</f>
        <v>0</v>
      </c>
      <c r="K58" s="19">
        <f>IF(HLOOKUP(Calculation!$D$4,$D$49:$I$81,A58,0),1,0)</f>
        <v>1</v>
      </c>
      <c r="L58" s="7">
        <f t="shared" ref="L58:L80" si="1">IF(J58 = 0,1,K58)</f>
        <v>1</v>
      </c>
      <c r="M58" s="13"/>
      <c r="N58" s="13"/>
    </row>
    <row r="59" spans="1:14" s="4" customFormat="1" x14ac:dyDescent="0.15">
      <c r="A59" s="15">
        <v>11</v>
      </c>
      <c r="B59" s="7" t="s">
        <v>44</v>
      </c>
      <c r="C59" s="20">
        <v>2</v>
      </c>
      <c r="D59" s="16" t="b">
        <f>TRUE()</f>
        <v>1</v>
      </c>
      <c r="E59" s="31" t="b">
        <f>TRUE()</f>
        <v>1</v>
      </c>
      <c r="F59" s="21" t="b">
        <f>FALSE()</f>
        <v>0</v>
      </c>
      <c r="G59" s="20" t="b">
        <f>FALSE()</f>
        <v>0</v>
      </c>
      <c r="H59" s="29" t="b">
        <f>TRUE()</f>
        <v>1</v>
      </c>
      <c r="I59" s="21" t="b">
        <f>FALSE()</f>
        <v>0</v>
      </c>
      <c r="J59" s="7">
        <f>Calculation!D14*C59</f>
        <v>0</v>
      </c>
      <c r="K59" s="19">
        <f>IF(HLOOKUP(Calculation!$D$4,$D$49:$I$81,A59,0),1,0)</f>
        <v>1</v>
      </c>
      <c r="L59" s="7">
        <f t="shared" si="1"/>
        <v>1</v>
      </c>
      <c r="M59" s="13"/>
      <c r="N59" s="13"/>
    </row>
    <row r="60" spans="1:14" s="4" customFormat="1" x14ac:dyDescent="0.15">
      <c r="A60" s="15">
        <v>12</v>
      </c>
      <c r="B60" s="7" t="s">
        <v>6</v>
      </c>
      <c r="C60" s="20">
        <v>2</v>
      </c>
      <c r="D60" s="16" t="b">
        <f>TRUE()</f>
        <v>1</v>
      </c>
      <c r="E60" s="31" t="b">
        <f>TRUE()</f>
        <v>1</v>
      </c>
      <c r="F60" s="20" t="b">
        <f>FALSE()</f>
        <v>0</v>
      </c>
      <c r="G60" s="20" t="b">
        <f>FALSE()</f>
        <v>0</v>
      </c>
      <c r="H60" s="29" t="b">
        <f>TRUE()</f>
        <v>1</v>
      </c>
      <c r="I60" s="20" t="b">
        <f>FALSE()</f>
        <v>0</v>
      </c>
      <c r="J60" s="7">
        <f>Calculation!D15*C60</f>
        <v>0</v>
      </c>
      <c r="K60" s="19">
        <f>IF(HLOOKUP(Calculation!$D$4,$D$49:$I$81,A60,0),1,0)</f>
        <v>1</v>
      </c>
      <c r="L60" s="7">
        <f t="shared" si="1"/>
        <v>1</v>
      </c>
      <c r="M60" s="13"/>
      <c r="N60" s="13"/>
    </row>
    <row r="61" spans="1:14" s="4" customFormat="1" x14ac:dyDescent="0.15">
      <c r="A61" s="15">
        <v>13</v>
      </c>
      <c r="B61" s="7" t="s">
        <v>7</v>
      </c>
      <c r="C61" s="20">
        <v>2</v>
      </c>
      <c r="D61" s="16" t="b">
        <f>TRUE()</f>
        <v>1</v>
      </c>
      <c r="E61" s="31" t="b">
        <f>TRUE()</f>
        <v>1</v>
      </c>
      <c r="F61" s="20" t="b">
        <f>FALSE()</f>
        <v>0</v>
      </c>
      <c r="G61" s="20" t="b">
        <f>FALSE()</f>
        <v>0</v>
      </c>
      <c r="H61" s="29" t="b">
        <f>TRUE()</f>
        <v>1</v>
      </c>
      <c r="I61" s="20" t="b">
        <f>FALSE()</f>
        <v>0</v>
      </c>
      <c r="J61" s="7">
        <f>Calculation!D16*C61</f>
        <v>0</v>
      </c>
      <c r="K61" s="19">
        <f>IF(HLOOKUP(Calculation!$D$4,$D$49:$I$81,A61,0),1,0)</f>
        <v>1</v>
      </c>
      <c r="L61" s="7">
        <f t="shared" si="1"/>
        <v>1</v>
      </c>
      <c r="M61" s="13"/>
      <c r="N61" s="13"/>
    </row>
    <row r="62" spans="1:14" x14ac:dyDescent="0.15">
      <c r="A62" s="15">
        <v>14</v>
      </c>
      <c r="B62" s="7" t="s">
        <v>33</v>
      </c>
      <c r="C62" s="20">
        <v>2</v>
      </c>
      <c r="D62" s="16" t="b">
        <f>TRUE()</f>
        <v>1</v>
      </c>
      <c r="E62" s="31" t="b">
        <f>TRUE()</f>
        <v>1</v>
      </c>
      <c r="F62" s="21" t="b">
        <f>TRUE()</f>
        <v>1</v>
      </c>
      <c r="G62" s="20" t="b">
        <f>FALSE()</f>
        <v>0</v>
      </c>
      <c r="H62" s="29" t="b">
        <f>TRUE()</f>
        <v>1</v>
      </c>
      <c r="I62" s="21" t="b">
        <f>TRUE()</f>
        <v>1</v>
      </c>
      <c r="J62" s="7">
        <f>Calculation!D17*C62</f>
        <v>0</v>
      </c>
      <c r="K62" s="19">
        <f>IF(HLOOKUP(Calculation!$D$4,$D$49:$I$81,A62,0),1,0)</f>
        <v>1</v>
      </c>
      <c r="L62" s="7">
        <f t="shared" si="1"/>
        <v>1</v>
      </c>
      <c r="M62" s="13"/>
      <c r="N62" s="13"/>
    </row>
    <row r="63" spans="1:14" x14ac:dyDescent="0.15">
      <c r="A63" s="15">
        <v>15</v>
      </c>
      <c r="B63" s="7" t="s">
        <v>9</v>
      </c>
      <c r="C63" s="20">
        <v>1</v>
      </c>
      <c r="D63" s="16" t="b">
        <f>TRUE()</f>
        <v>1</v>
      </c>
      <c r="E63" s="31" t="b">
        <f>TRUE()</f>
        <v>1</v>
      </c>
      <c r="F63" s="20" t="b">
        <f>FALSE()</f>
        <v>0</v>
      </c>
      <c r="G63" s="20" t="b">
        <f>FALSE()</f>
        <v>0</v>
      </c>
      <c r="H63" s="29" t="b">
        <f>TRUE()</f>
        <v>1</v>
      </c>
      <c r="I63" s="20" t="b">
        <f>FALSE()</f>
        <v>0</v>
      </c>
      <c r="J63" s="7">
        <f>Calculation!D18*C63</f>
        <v>0</v>
      </c>
      <c r="K63" s="19">
        <f>IF(HLOOKUP(Calculation!$D$4,$D$49:$I$81,A63,0),1,0)</f>
        <v>1</v>
      </c>
      <c r="L63" s="7">
        <f t="shared" si="1"/>
        <v>1</v>
      </c>
      <c r="M63" s="13"/>
      <c r="N63" s="13"/>
    </row>
    <row r="64" spans="1:14" x14ac:dyDescent="0.15">
      <c r="A64" s="15">
        <v>16</v>
      </c>
      <c r="B64" s="7" t="s">
        <v>40</v>
      </c>
      <c r="C64" s="20">
        <v>2</v>
      </c>
      <c r="D64" s="16" t="b">
        <f>TRUE()</f>
        <v>1</v>
      </c>
      <c r="E64" s="31" t="b">
        <f>TRUE()</f>
        <v>1</v>
      </c>
      <c r="F64" s="21" t="b">
        <f>FALSE()</f>
        <v>0</v>
      </c>
      <c r="G64" s="21" t="b">
        <f>FALSE()</f>
        <v>0</v>
      </c>
      <c r="H64" s="29" t="b">
        <f>TRUE()</f>
        <v>1</v>
      </c>
      <c r="I64" s="21" t="b">
        <f>FALSE()</f>
        <v>0</v>
      </c>
      <c r="J64" s="7">
        <f>Calculation!D19*C64</f>
        <v>0</v>
      </c>
      <c r="K64" s="19">
        <f>IF(HLOOKUP(Calculation!$D$4,$D$49:$I$81,A64,0),1,0)</f>
        <v>1</v>
      </c>
      <c r="L64" s="7">
        <f t="shared" si="1"/>
        <v>1</v>
      </c>
      <c r="M64" s="13"/>
      <c r="N64" s="13"/>
    </row>
    <row r="65" spans="1:14" x14ac:dyDescent="0.15">
      <c r="A65" s="15">
        <v>17</v>
      </c>
      <c r="B65" s="7" t="s">
        <v>10</v>
      </c>
      <c r="C65" s="20">
        <v>1</v>
      </c>
      <c r="D65" s="16" t="b">
        <f>TRUE()</f>
        <v>1</v>
      </c>
      <c r="E65" s="31" t="b">
        <f>TRUE()</f>
        <v>1</v>
      </c>
      <c r="F65" s="21" t="b">
        <f>TRUE()</f>
        <v>1</v>
      </c>
      <c r="G65" s="21" t="b">
        <f>TRUE()</f>
        <v>1</v>
      </c>
      <c r="H65" s="29" t="b">
        <f>TRUE()</f>
        <v>1</v>
      </c>
      <c r="I65" s="21" t="b">
        <f>TRUE()</f>
        <v>1</v>
      </c>
      <c r="J65" s="7">
        <f>Calculation!D20*C65</f>
        <v>0</v>
      </c>
      <c r="K65" s="19">
        <f>IF(HLOOKUP(Calculation!$D$4,$D$49:$I$81,A65,0),1,0)</f>
        <v>1</v>
      </c>
      <c r="L65" s="7">
        <f t="shared" si="1"/>
        <v>1</v>
      </c>
      <c r="M65" s="13"/>
      <c r="N65" s="13"/>
    </row>
    <row r="66" spans="1:14" x14ac:dyDescent="0.15">
      <c r="A66" s="15">
        <v>18</v>
      </c>
      <c r="B66" s="7" t="s">
        <v>11</v>
      </c>
      <c r="C66" s="20">
        <v>1</v>
      </c>
      <c r="D66" s="16" t="b">
        <f>TRUE()</f>
        <v>1</v>
      </c>
      <c r="E66" s="31" t="b">
        <f>TRUE()</f>
        <v>1</v>
      </c>
      <c r="F66" s="21" t="b">
        <f>TRUE()</f>
        <v>1</v>
      </c>
      <c r="G66" s="21" t="b">
        <f>TRUE()</f>
        <v>1</v>
      </c>
      <c r="H66" s="29" t="b">
        <f>TRUE()</f>
        <v>1</v>
      </c>
      <c r="I66" s="21" t="b">
        <f>TRUE()</f>
        <v>1</v>
      </c>
      <c r="J66" s="7">
        <f>Calculation!D21*C66</f>
        <v>0</v>
      </c>
      <c r="K66" s="19">
        <f>IF(HLOOKUP(Calculation!$D$4,$D$49:$I$81,A66,0),1,0)</f>
        <v>1</v>
      </c>
      <c r="L66" s="7">
        <f t="shared" si="1"/>
        <v>1</v>
      </c>
      <c r="M66" s="13"/>
      <c r="N66" s="13"/>
    </row>
    <row r="67" spans="1:14" x14ac:dyDescent="0.15">
      <c r="A67" s="15">
        <v>19</v>
      </c>
      <c r="B67" s="7" t="s">
        <v>29</v>
      </c>
      <c r="C67" s="20">
        <v>1</v>
      </c>
      <c r="D67" s="16" t="b">
        <f>TRUE()</f>
        <v>1</v>
      </c>
      <c r="E67" s="31" t="b">
        <f>TRUE()</f>
        <v>1</v>
      </c>
      <c r="F67" s="21" t="b">
        <f>TRUE()</f>
        <v>1</v>
      </c>
      <c r="G67" s="20" t="b">
        <f>FALSE()</f>
        <v>0</v>
      </c>
      <c r="H67" s="29" t="b">
        <f>TRUE()</f>
        <v>1</v>
      </c>
      <c r="I67" s="21" t="b">
        <f>TRUE()</f>
        <v>1</v>
      </c>
      <c r="J67" s="7">
        <f>Calculation!D22*C67</f>
        <v>0</v>
      </c>
      <c r="K67" s="19">
        <f>IF(HLOOKUP(Calculation!$D$4,$D$49:$I$81,A67,0),1,0)</f>
        <v>1</v>
      </c>
      <c r="L67" s="7">
        <f t="shared" si="1"/>
        <v>1</v>
      </c>
      <c r="M67" s="13"/>
      <c r="N67" s="13"/>
    </row>
    <row r="68" spans="1:14" x14ac:dyDescent="0.15">
      <c r="A68" s="15">
        <v>20</v>
      </c>
      <c r="B68" s="7" t="s">
        <v>34</v>
      </c>
      <c r="C68" s="20">
        <v>2</v>
      </c>
      <c r="D68" s="16" t="b">
        <f>TRUE()</f>
        <v>1</v>
      </c>
      <c r="E68" s="31" t="b">
        <f>TRUE()</f>
        <v>1</v>
      </c>
      <c r="F68" s="21" t="b">
        <f>TRUE()</f>
        <v>1</v>
      </c>
      <c r="G68" s="21" t="b">
        <f>TRUE()</f>
        <v>1</v>
      </c>
      <c r="H68" s="29" t="b">
        <f>TRUE()</f>
        <v>1</v>
      </c>
      <c r="I68" s="21" t="b">
        <f>TRUE()</f>
        <v>1</v>
      </c>
      <c r="J68" s="7">
        <f>Calculation!D23*C68</f>
        <v>0</v>
      </c>
      <c r="K68" s="19">
        <f>IF(HLOOKUP(Calculation!$D$4,$D$49:$I$81,A68,0),1,0)</f>
        <v>1</v>
      </c>
      <c r="L68" s="7">
        <f t="shared" si="1"/>
        <v>1</v>
      </c>
      <c r="M68" s="13"/>
      <c r="N68" s="13"/>
    </row>
    <row r="69" spans="1:14" x14ac:dyDescent="0.15">
      <c r="A69" s="15">
        <v>21</v>
      </c>
      <c r="B69" s="7" t="s">
        <v>35</v>
      </c>
      <c r="C69" s="20">
        <v>2</v>
      </c>
      <c r="D69" s="16" t="b">
        <f>TRUE()</f>
        <v>1</v>
      </c>
      <c r="E69" s="31" t="b">
        <f>TRUE()</f>
        <v>1</v>
      </c>
      <c r="F69" s="21" t="b">
        <f>TRUE()</f>
        <v>1</v>
      </c>
      <c r="G69" s="20" t="b">
        <f>FALSE()</f>
        <v>0</v>
      </c>
      <c r="H69" s="29" t="b">
        <f>TRUE()</f>
        <v>1</v>
      </c>
      <c r="I69" s="21" t="b">
        <f>TRUE()</f>
        <v>1</v>
      </c>
      <c r="J69" s="7">
        <f>Calculation!D24*C69</f>
        <v>0</v>
      </c>
      <c r="K69" s="19">
        <f>IF(HLOOKUP(Calculation!$D$4,$D$49:$I$81,A69,0),1,0)</f>
        <v>1</v>
      </c>
      <c r="L69" s="7">
        <f t="shared" si="1"/>
        <v>1</v>
      </c>
      <c r="M69" s="13"/>
      <c r="N69" s="13"/>
    </row>
    <row r="70" spans="1:14" x14ac:dyDescent="0.15">
      <c r="A70" s="15">
        <v>22</v>
      </c>
      <c r="B70" s="7" t="s">
        <v>45</v>
      </c>
      <c r="C70" s="20">
        <v>2</v>
      </c>
      <c r="D70" s="16" t="b">
        <f>TRUE()</f>
        <v>1</v>
      </c>
      <c r="E70" s="31" t="b">
        <f>TRUE()</f>
        <v>1</v>
      </c>
      <c r="F70" s="21" t="b">
        <f>TRUE()</f>
        <v>1</v>
      </c>
      <c r="G70" s="20" t="b">
        <f>FALSE()</f>
        <v>0</v>
      </c>
      <c r="H70" s="29" t="b">
        <f>TRUE()</f>
        <v>1</v>
      </c>
      <c r="I70" s="21" t="b">
        <f>TRUE()</f>
        <v>1</v>
      </c>
      <c r="J70" s="7">
        <f>Calculation!D25*C70</f>
        <v>0</v>
      </c>
      <c r="K70" s="19">
        <f>IF(HLOOKUP(Calculation!$D$4,$D$49:$I$81,A70,0),1,0)</f>
        <v>1</v>
      </c>
      <c r="L70" s="7">
        <f t="shared" si="1"/>
        <v>1</v>
      </c>
      <c r="M70" s="13"/>
      <c r="N70" s="13"/>
    </row>
    <row r="71" spans="1:14" x14ac:dyDescent="0.15">
      <c r="A71" s="15">
        <v>23</v>
      </c>
      <c r="B71" s="7" t="s">
        <v>43</v>
      </c>
      <c r="C71" s="20">
        <v>1</v>
      </c>
      <c r="D71" s="16" t="b">
        <f>TRUE()</f>
        <v>1</v>
      </c>
      <c r="E71" s="31" t="b">
        <f>TRUE()</f>
        <v>1</v>
      </c>
      <c r="F71" s="21" t="b">
        <f>TRUE()</f>
        <v>1</v>
      </c>
      <c r="G71" s="20" t="b">
        <f>FALSE()</f>
        <v>0</v>
      </c>
      <c r="H71" s="29" t="b">
        <f>TRUE()</f>
        <v>1</v>
      </c>
      <c r="I71" s="21" t="b">
        <f>TRUE()</f>
        <v>1</v>
      </c>
      <c r="J71" s="7">
        <f>Calculation!D26*C71</f>
        <v>0</v>
      </c>
      <c r="K71" s="19">
        <f>IF(HLOOKUP(Calculation!$D$4,$D$49:$I$81,A71,0),1,0)</f>
        <v>1</v>
      </c>
      <c r="L71" s="7">
        <f t="shared" si="1"/>
        <v>1</v>
      </c>
      <c r="M71" s="13"/>
      <c r="N71" s="13"/>
    </row>
    <row r="72" spans="1:14" x14ac:dyDescent="0.15">
      <c r="A72" s="15">
        <v>24</v>
      </c>
      <c r="B72" s="7" t="s">
        <v>46</v>
      </c>
      <c r="C72" s="20">
        <v>2</v>
      </c>
      <c r="D72" s="16" t="b">
        <f>TRUE()</f>
        <v>1</v>
      </c>
      <c r="E72" s="31" t="b">
        <f>TRUE()</f>
        <v>1</v>
      </c>
      <c r="F72" s="20" t="b">
        <f>FALSE()</f>
        <v>0</v>
      </c>
      <c r="G72" s="20" t="b">
        <f>FALSE()</f>
        <v>0</v>
      </c>
      <c r="H72" s="29" t="b">
        <f>TRUE()</f>
        <v>1</v>
      </c>
      <c r="I72" s="20" t="b">
        <f>FALSE()</f>
        <v>0</v>
      </c>
      <c r="J72" s="7">
        <f>Calculation!D27*C72</f>
        <v>0</v>
      </c>
      <c r="K72" s="19">
        <f>IF(HLOOKUP(Calculation!$D$4,$D$49:$I$81,A72,0),1,0)</f>
        <v>1</v>
      </c>
      <c r="L72" s="7">
        <f t="shared" si="1"/>
        <v>1</v>
      </c>
      <c r="M72" s="13"/>
      <c r="N72" s="13"/>
    </row>
    <row r="73" spans="1:14" x14ac:dyDescent="0.15">
      <c r="A73" s="15">
        <v>25</v>
      </c>
      <c r="B73" s="7" t="s">
        <v>47</v>
      </c>
      <c r="C73" s="20">
        <v>2</v>
      </c>
      <c r="D73" s="16" t="b">
        <f>TRUE()</f>
        <v>1</v>
      </c>
      <c r="E73" s="31" t="b">
        <f>TRUE()</f>
        <v>1</v>
      </c>
      <c r="F73" s="20" t="b">
        <f>FALSE()</f>
        <v>0</v>
      </c>
      <c r="G73" s="20" t="b">
        <f>FALSE()</f>
        <v>0</v>
      </c>
      <c r="H73" s="29" t="b">
        <f>TRUE()</f>
        <v>1</v>
      </c>
      <c r="I73" s="20" t="b">
        <f>FALSE()</f>
        <v>0</v>
      </c>
      <c r="J73" s="7">
        <f>Calculation!D28*C73</f>
        <v>0</v>
      </c>
      <c r="K73" s="19">
        <f>IF(HLOOKUP(Calculation!$D$4,$D$49:$I$81,A73,0),1,0)</f>
        <v>1</v>
      </c>
      <c r="L73" s="7">
        <f t="shared" si="1"/>
        <v>1</v>
      </c>
      <c r="M73" s="13"/>
      <c r="N73" s="13"/>
    </row>
    <row r="74" spans="1:14" x14ac:dyDescent="0.15">
      <c r="A74" s="15">
        <v>26</v>
      </c>
      <c r="B74" s="7" t="s">
        <v>36</v>
      </c>
      <c r="C74" s="20">
        <v>1</v>
      </c>
      <c r="D74" s="16" t="b">
        <f>TRUE()</f>
        <v>1</v>
      </c>
      <c r="E74" s="31" t="b">
        <f>TRUE()</f>
        <v>1</v>
      </c>
      <c r="F74" s="21" t="b">
        <f>TRUE()</f>
        <v>1</v>
      </c>
      <c r="G74" s="20" t="b">
        <f>FALSE()</f>
        <v>0</v>
      </c>
      <c r="H74" s="29" t="b">
        <f>TRUE()</f>
        <v>1</v>
      </c>
      <c r="I74" s="21" t="b">
        <f>TRUE()</f>
        <v>1</v>
      </c>
      <c r="J74" s="7">
        <f>Calculation!D29*C74</f>
        <v>0</v>
      </c>
      <c r="K74" s="19">
        <f>IF(HLOOKUP(Calculation!$D$4,$D$49:$I$81,A74,0),1,0)</f>
        <v>1</v>
      </c>
      <c r="L74" s="7">
        <f t="shared" si="1"/>
        <v>1</v>
      </c>
      <c r="M74" s="13"/>
      <c r="N74" s="13"/>
    </row>
    <row r="75" spans="1:14" x14ac:dyDescent="0.15">
      <c r="A75" s="15">
        <v>27</v>
      </c>
      <c r="B75" s="7" t="s">
        <v>16</v>
      </c>
      <c r="C75" s="20">
        <v>1</v>
      </c>
      <c r="D75" s="16" t="b">
        <f>TRUE()</f>
        <v>1</v>
      </c>
      <c r="E75" s="31" t="b">
        <f>TRUE()</f>
        <v>1</v>
      </c>
      <c r="F75" s="21" t="b">
        <f>TRUE()</f>
        <v>1</v>
      </c>
      <c r="G75" s="20" t="b">
        <f>FALSE()</f>
        <v>0</v>
      </c>
      <c r="H75" s="29" t="b">
        <f>TRUE()</f>
        <v>1</v>
      </c>
      <c r="I75" s="21" t="b">
        <f>TRUE()</f>
        <v>1</v>
      </c>
      <c r="J75" s="7">
        <f>Calculation!D30*C75</f>
        <v>0</v>
      </c>
      <c r="K75" s="19">
        <f>IF(HLOOKUP(Calculation!$D$4,$D$49:$I$81,A75,0),1,0)</f>
        <v>1</v>
      </c>
      <c r="L75" s="7">
        <f t="shared" si="1"/>
        <v>1</v>
      </c>
      <c r="M75" s="13"/>
      <c r="N75" s="13"/>
    </row>
    <row r="76" spans="1:14" x14ac:dyDescent="0.15">
      <c r="A76" s="15">
        <v>28</v>
      </c>
      <c r="B76" s="7" t="s">
        <v>17</v>
      </c>
      <c r="C76" s="20">
        <v>1</v>
      </c>
      <c r="D76" s="16" t="b">
        <f>TRUE()</f>
        <v>1</v>
      </c>
      <c r="E76" s="31" t="b">
        <f>TRUE()</f>
        <v>1</v>
      </c>
      <c r="F76" s="21" t="b">
        <f>TRUE()</f>
        <v>1</v>
      </c>
      <c r="G76" s="21" t="b">
        <f>TRUE()</f>
        <v>1</v>
      </c>
      <c r="H76" s="29" t="b">
        <f>TRUE()</f>
        <v>1</v>
      </c>
      <c r="I76" s="21" t="b">
        <f>TRUE()</f>
        <v>1</v>
      </c>
      <c r="J76" s="7">
        <f>Calculation!D31*C76</f>
        <v>0</v>
      </c>
      <c r="K76" s="19">
        <f>IF(HLOOKUP(Calculation!$D$4,$D$49:$I$81,A76,0),1,0)</f>
        <v>1</v>
      </c>
      <c r="L76" s="7">
        <f t="shared" si="1"/>
        <v>1</v>
      </c>
      <c r="M76" s="13"/>
      <c r="N76" s="13"/>
    </row>
    <row r="77" spans="1:14" x14ac:dyDescent="0.15">
      <c r="A77" s="15">
        <v>29</v>
      </c>
      <c r="B77" s="11" t="s">
        <v>18</v>
      </c>
      <c r="C77" s="21">
        <v>1</v>
      </c>
      <c r="D77" s="16" t="b">
        <f>TRUE()</f>
        <v>1</v>
      </c>
      <c r="E77" s="31" t="b">
        <f>TRUE()</f>
        <v>1</v>
      </c>
      <c r="F77" s="21" t="b">
        <f>TRUE()</f>
        <v>1</v>
      </c>
      <c r="G77" s="21" t="b">
        <f>TRUE()</f>
        <v>1</v>
      </c>
      <c r="H77" s="29" t="b">
        <f>TRUE()</f>
        <v>1</v>
      </c>
      <c r="I77" s="21" t="b">
        <f>TRUE()</f>
        <v>1</v>
      </c>
      <c r="J77" s="7">
        <f>Calculation!D32*C77</f>
        <v>0</v>
      </c>
      <c r="K77" s="19">
        <f>IF(HLOOKUP(Calculation!$D$4,$D$49:$I$81,A77,0),1,0)</f>
        <v>1</v>
      </c>
      <c r="L77" s="7">
        <f t="shared" si="1"/>
        <v>1</v>
      </c>
      <c r="M77" s="13"/>
      <c r="N77" s="13"/>
    </row>
    <row r="78" spans="1:14" x14ac:dyDescent="0.15">
      <c r="A78" s="15">
        <v>30</v>
      </c>
      <c r="B78" s="11" t="s">
        <v>48</v>
      </c>
      <c r="C78" s="21">
        <v>1</v>
      </c>
      <c r="D78" s="16" t="b">
        <f>TRUE()</f>
        <v>1</v>
      </c>
      <c r="E78" s="31" t="b">
        <f>TRUE()</f>
        <v>1</v>
      </c>
      <c r="F78" s="21" t="b">
        <f>TRUE()</f>
        <v>1</v>
      </c>
      <c r="G78" s="21" t="b">
        <f>FALSE()</f>
        <v>0</v>
      </c>
      <c r="H78" s="29" t="b">
        <f>TRUE()</f>
        <v>1</v>
      </c>
      <c r="I78" s="21" t="b">
        <f>TRUE()</f>
        <v>1</v>
      </c>
      <c r="J78" s="7">
        <f>Calculation!D33*C78</f>
        <v>0</v>
      </c>
      <c r="K78" s="19">
        <f>IF(HLOOKUP(Calculation!$D$4,$D$49:$I$81,A78,0),1,0)</f>
        <v>1</v>
      </c>
      <c r="L78" s="7">
        <f t="shared" si="1"/>
        <v>1</v>
      </c>
      <c r="M78" s="13"/>
      <c r="N78" s="13"/>
    </row>
    <row r="79" spans="1:14" x14ac:dyDescent="0.15">
      <c r="A79" s="15">
        <v>31</v>
      </c>
      <c r="B79" s="7" t="s">
        <v>37</v>
      </c>
      <c r="C79" s="20">
        <v>1</v>
      </c>
      <c r="D79" s="16" t="b">
        <f>TRUE()</f>
        <v>1</v>
      </c>
      <c r="E79" s="31" t="b">
        <f>TRUE()</f>
        <v>1</v>
      </c>
      <c r="F79" s="21" t="b">
        <f>TRUE()</f>
        <v>1</v>
      </c>
      <c r="G79" s="21" t="b">
        <f>TRUE()</f>
        <v>1</v>
      </c>
      <c r="H79" s="29" t="b">
        <f>TRUE()</f>
        <v>1</v>
      </c>
      <c r="I79" s="21" t="b">
        <f>TRUE()</f>
        <v>1</v>
      </c>
      <c r="J79" s="7">
        <f>Calculation!D34*C79</f>
        <v>0</v>
      </c>
      <c r="K79" s="19">
        <f>IF(HLOOKUP(Calculation!$D$4,$D$49:$I$81,A79,0),1,0)</f>
        <v>1</v>
      </c>
      <c r="L79" s="7">
        <f t="shared" si="1"/>
        <v>1</v>
      </c>
      <c r="M79" s="13"/>
      <c r="N79" s="13"/>
    </row>
    <row r="80" spans="1:14" x14ac:dyDescent="0.15">
      <c r="A80" s="15">
        <v>32</v>
      </c>
      <c r="B80" s="11" t="s">
        <v>38</v>
      </c>
      <c r="C80" s="22">
        <v>1</v>
      </c>
      <c r="D80" s="16" t="b">
        <f>TRUE()</f>
        <v>1</v>
      </c>
      <c r="E80" s="31" t="b">
        <f>TRUE()</f>
        <v>1</v>
      </c>
      <c r="F80" s="23" t="b">
        <f>TRUE()</f>
        <v>1</v>
      </c>
      <c r="G80" s="20" t="b">
        <f>FALSE()</f>
        <v>0</v>
      </c>
      <c r="H80" s="29" t="b">
        <f>TRUE()</f>
        <v>1</v>
      </c>
      <c r="I80" s="23" t="b">
        <f>TRUE()</f>
        <v>1</v>
      </c>
      <c r="J80" s="7">
        <f>Calculation!D35*C80</f>
        <v>0</v>
      </c>
      <c r="K80" s="19">
        <f>IF(HLOOKUP(Calculation!$D$4,$D$49:$I$81,A80,0),1,0)</f>
        <v>1</v>
      </c>
      <c r="L80" s="7">
        <f t="shared" si="1"/>
        <v>1</v>
      </c>
      <c r="M80" s="13"/>
      <c r="N80" s="13"/>
    </row>
    <row r="81" spans="1:14" x14ac:dyDescent="0.15">
      <c r="A81" s="15">
        <v>33</v>
      </c>
      <c r="B81" s="11" t="s">
        <v>71</v>
      </c>
      <c r="C81" s="22">
        <v>1</v>
      </c>
      <c r="D81" s="20" t="b">
        <f>FALSE()</f>
        <v>0</v>
      </c>
      <c r="E81" s="20" t="b">
        <f>FALSE()</f>
        <v>0</v>
      </c>
      <c r="F81" s="20" t="b">
        <f>FALSE()</f>
        <v>0</v>
      </c>
      <c r="G81" s="20" t="b">
        <f>FALSE()</f>
        <v>0</v>
      </c>
      <c r="H81" s="29" t="b">
        <f>TRUE()</f>
        <v>1</v>
      </c>
      <c r="I81" s="29" t="b">
        <f>TRUE()</f>
        <v>1</v>
      </c>
      <c r="J81" s="24">
        <f>IF(AND(K81,OR(0&lt;J56,0&lt;J59, 0&lt;J60,0&lt;J61,0&lt;J72,0&lt;J73)),1,0)</f>
        <v>0</v>
      </c>
      <c r="K81" s="19">
        <f>IF(HLOOKUP(Calculation!$D$4,$D$49:$I$81,A81,0),1,0)</f>
        <v>0</v>
      </c>
      <c r="L81" s="7">
        <v>1</v>
      </c>
      <c r="M81" s="13"/>
      <c r="N81" s="13"/>
    </row>
    <row r="82" spans="1:14" x14ac:dyDescent="0.15">
      <c r="A82" s="13"/>
      <c r="B82" s="119" t="s">
        <v>60</v>
      </c>
      <c r="C82" s="120"/>
      <c r="D82" s="120"/>
      <c r="E82" s="120"/>
      <c r="F82" s="121"/>
      <c r="G82" s="25"/>
      <c r="H82" s="25"/>
      <c r="I82" s="25"/>
      <c r="J82" s="26" t="b">
        <f>IF(AND(C103=FALSE,C104=FALSE,C105=FALSE,C106=FALSE,C107=FALSE,C108=FALSE,C109=FALSE,C110=FALSE,C111=FALSE,C112=FALSE),TRUE,FALSE)</f>
        <v>1</v>
      </c>
      <c r="K82" s="27" t="s">
        <v>72</v>
      </c>
      <c r="L82" s="7" t="b">
        <f>AND(L51:L81)</f>
        <v>1</v>
      </c>
      <c r="M82" s="13"/>
      <c r="N82" s="13"/>
    </row>
    <row r="83" spans="1:14" x14ac:dyDescent="0.1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1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1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x14ac:dyDescent="0.15">
      <c r="A86" s="122" t="s">
        <v>73</v>
      </c>
      <c r="B86" s="123"/>
      <c r="C86" s="123"/>
      <c r="D86" s="124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x14ac:dyDescent="0.15">
      <c r="A87" s="7">
        <v>0</v>
      </c>
      <c r="B87" s="7" t="s">
        <v>21</v>
      </c>
      <c r="C87" s="7" t="s">
        <v>100</v>
      </c>
      <c r="D87" s="7" t="s">
        <v>74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x14ac:dyDescent="0.15">
      <c r="A88" s="7">
        <v>1</v>
      </c>
      <c r="B88" s="7" t="s">
        <v>0</v>
      </c>
      <c r="C88" s="7" t="s">
        <v>1</v>
      </c>
      <c r="D88" s="7" t="s">
        <v>75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x14ac:dyDescent="0.15">
      <c r="A89" s="7">
        <v>2</v>
      </c>
      <c r="B89" s="7" t="s">
        <v>22</v>
      </c>
      <c r="C89" s="7" t="s">
        <v>2</v>
      </c>
      <c r="D89" s="7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x14ac:dyDescent="0.15">
      <c r="A90" s="7">
        <v>3</v>
      </c>
      <c r="B90" s="7" t="s">
        <v>23</v>
      </c>
      <c r="C90" s="7" t="s">
        <v>3</v>
      </c>
      <c r="D90" s="7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x14ac:dyDescent="0.15">
      <c r="A91" s="7">
        <v>4</v>
      </c>
      <c r="B91" s="7"/>
      <c r="C91" s="7" t="s">
        <v>52</v>
      </c>
      <c r="D91" s="7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x14ac:dyDescent="0.15">
      <c r="A92" s="7">
        <v>5</v>
      </c>
      <c r="B92" s="7"/>
      <c r="C92" s="7" t="s">
        <v>54</v>
      </c>
      <c r="D92" s="7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s="4" customFormat="1" x14ac:dyDescent="0.15">
      <c r="A93" s="7">
        <v>6</v>
      </c>
      <c r="B93" s="7"/>
      <c r="C93" s="7"/>
      <c r="D93" s="7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s="4" customFormat="1" x14ac:dyDescent="0.15">
      <c r="A94" s="7">
        <v>7</v>
      </c>
      <c r="B94" s="7"/>
      <c r="C94" s="7"/>
      <c r="D94" s="7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s="4" customFormat="1" x14ac:dyDescent="0.15">
      <c r="A95" s="7">
        <v>8</v>
      </c>
      <c r="B95" s="7"/>
      <c r="C95" s="7"/>
      <c r="D95" s="7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s="4" customFormat="1" x14ac:dyDescent="0.15">
      <c r="A96" s="7">
        <v>9</v>
      </c>
      <c r="B96" s="7"/>
      <c r="C96" s="7"/>
      <c r="D96" s="7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s="4" customFormat="1" x14ac:dyDescent="0.15">
      <c r="A97" s="7">
        <v>10</v>
      </c>
      <c r="B97" s="7"/>
      <c r="C97" s="7"/>
      <c r="D97" s="7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s="4" customFormat="1" x14ac:dyDescent="0.15">
      <c r="A98" s="7">
        <v>11</v>
      </c>
      <c r="B98" s="7"/>
      <c r="C98" s="7"/>
      <c r="D98" s="7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s="4" customFormat="1" x14ac:dyDescent="0.15">
      <c r="A99" s="7">
        <v>12</v>
      </c>
      <c r="B99" s="7"/>
      <c r="C99" s="7"/>
      <c r="D99" s="7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2" spans="1:14" x14ac:dyDescent="0.15">
      <c r="B102" s="34" t="s">
        <v>116</v>
      </c>
      <c r="C102" s="34" t="s">
        <v>117</v>
      </c>
    </row>
    <row r="103" spans="1:14" x14ac:dyDescent="0.15">
      <c r="B103" s="34" t="s">
        <v>108</v>
      </c>
      <c r="C103" s="34" t="b">
        <f>OR(SUM(J51:J81)&gt;J50)</f>
        <v>0</v>
      </c>
    </row>
    <row r="104" spans="1:14" x14ac:dyDescent="0.15">
      <c r="B104" s="34" t="s">
        <v>109</v>
      </c>
      <c r="C104" s="34" t="b">
        <f>(J52+J54)&gt;9</f>
        <v>0</v>
      </c>
    </row>
    <row r="105" spans="1:14" x14ac:dyDescent="0.15">
      <c r="B105" s="34" t="s">
        <v>110</v>
      </c>
      <c r="C105" s="34" t="b">
        <f>AND((J52+J54)=9,(J51+J53+SUM(J58:J62)+J64+SUM(J68:J70)+SUM(J72:J73))&gt;=1)</f>
        <v>0</v>
      </c>
    </row>
    <row r="106" spans="1:14" x14ac:dyDescent="0.15">
      <c r="B106" s="34" t="s">
        <v>111</v>
      </c>
      <c r="C106" s="34" t="b">
        <f>J51&gt;10</f>
        <v>0</v>
      </c>
    </row>
    <row r="107" spans="1:14" x14ac:dyDescent="0.15">
      <c r="B107" s="34" t="s">
        <v>112</v>
      </c>
      <c r="C107" s="34" t="b">
        <f>AND(J51=10,SUM(J52:J80)&gt;=1)</f>
        <v>0</v>
      </c>
    </row>
    <row r="108" spans="1:14" x14ac:dyDescent="0.15">
      <c r="B108" s="34" t="s">
        <v>113</v>
      </c>
      <c r="C108" s="34" t="b">
        <f>J53&gt;10</f>
        <v>0</v>
      </c>
    </row>
    <row r="109" spans="1:14" x14ac:dyDescent="0.15">
      <c r="B109" s="34" t="s">
        <v>114</v>
      </c>
      <c r="C109" s="34" t="b">
        <f>AND(J53=10,OR(SUM(J51:J52)&gt;=1,SUM(J54:J80)&gt;=1))</f>
        <v>0</v>
      </c>
    </row>
    <row r="110" spans="1:14" x14ac:dyDescent="0.15">
      <c r="B110" s="34" t="s">
        <v>118</v>
      </c>
      <c r="C110" s="34" t="b">
        <f>AND(J50=5,J56&gt;3)</f>
        <v>0</v>
      </c>
    </row>
    <row r="111" spans="1:14" x14ac:dyDescent="0.15">
      <c r="B111" s="34" t="s">
        <v>119</v>
      </c>
      <c r="C111" s="34" t="b">
        <f>AND(J50=5,AND(J56=3,SUM(J57:J80)&gt;=1))</f>
        <v>0</v>
      </c>
    </row>
    <row r="112" spans="1:14" x14ac:dyDescent="0.15">
      <c r="B112" s="34" t="s">
        <v>115</v>
      </c>
      <c r="C112" s="34" t="b">
        <f>AND((J52+J54)=6,(J51+J53+SUM(J58:J62)+J64+SUM(J68:J70)+SUM(J72:J73))&gt;=5)</f>
        <v>0</v>
      </c>
    </row>
  </sheetData>
  <sheetProtection algorithmName="SHA-512" hashValue="TzcY+fuSzfU9PCGNXkEBBmNja88q8PV3b2Jf6yfnc4KHBSXOckrfOl58N2rIdxKPwbJrCMWjMTCmwIBAaHSmVw==" saltValue="KjJVK1ol0CS6780N18zNlg==" spinCount="100000" sheet="1" objects="1" scenarios="1"/>
  <mergeCells count="7">
    <mergeCell ref="B82:F82"/>
    <mergeCell ref="A86:D86"/>
    <mergeCell ref="C1:F1"/>
    <mergeCell ref="G1:J1"/>
    <mergeCell ref="B46:L46"/>
    <mergeCell ref="J48:K48"/>
    <mergeCell ref="C48:I48"/>
  </mergeCells>
  <phoneticPr fontId="4"/>
  <pageMargins left="0.75" right="0.75" top="1" bottom="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Calculation Instructions</vt:lpstr>
      <vt:lpstr>Calculation Instructions Origin</vt:lpstr>
      <vt:lpstr>Calculation</vt:lpstr>
      <vt:lpstr>DataTable</vt:lpstr>
    </vt:vector>
  </TitlesOfParts>
  <Company>FOR-A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nogami</dc:creator>
  <dc:description/>
  <cp:lastModifiedBy>k_yokoyama</cp:lastModifiedBy>
  <cp:revision>26</cp:revision>
  <cp:lastPrinted>2021-10-20T04:44:44Z</cp:lastPrinted>
  <dcterms:created xsi:type="dcterms:W3CDTF">2016-05-31T02:24:00Z</dcterms:created>
  <dcterms:modified xsi:type="dcterms:W3CDTF">2021-11-05T05:14:58Z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FOR-A COMPANY LIMITED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1041-9.1.0.4586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